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xlsx" ContentType="application/vnd.openxmlformats-officedocument.spreadsheetml.sheet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UM\BWL\VorträgeBWL\WeinbauVorträge\2021Wildschadensschätzung\"/>
    </mc:Choice>
  </mc:AlternateContent>
  <bookViews>
    <workbookView xWindow="0" yWindow="0" windowWidth="25135" windowHeight="10381" activeTab="6"/>
  </bookViews>
  <sheets>
    <sheet name="Vorwort" sheetId="8" r:id="rId1"/>
    <sheet name="Checkliste Schadensermittlung" sheetId="5" r:id="rId2"/>
    <sheet name="Traubengewichte" sheetId="6" r:id="rId3"/>
    <sheet name="Knospenfraß" sheetId="7" r:id="rId4"/>
    <sheet name="Wühlschaden" sheetId="1" r:id="rId5"/>
    <sheet name="Ertragsausfall" sheetId="2" r:id="rId6"/>
    <sheet name="Neuanlage" sheetId="4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6" i="7" l="1"/>
  <c r="B37" i="7" s="1"/>
  <c r="B38" i="7" s="1"/>
  <c r="B27" i="7"/>
  <c r="B28" i="7" s="1"/>
  <c r="B29" i="7" s="1"/>
  <c r="B15" i="7"/>
  <c r="B18" i="7" s="1"/>
  <c r="B20" i="7" s="1"/>
  <c r="B13" i="7"/>
  <c r="B24" i="7" l="1"/>
  <c r="B30" i="7" s="1"/>
  <c r="B33" i="7"/>
  <c r="B39" i="7" s="1"/>
  <c r="B41" i="7" l="1"/>
  <c r="C34" i="2" l="1"/>
  <c r="C21" i="4" l="1"/>
  <c r="C25" i="4" s="1"/>
  <c r="C14" i="4"/>
  <c r="C16" i="4" s="1"/>
  <c r="C25" i="2"/>
  <c r="C31" i="2" s="1"/>
  <c r="C21" i="2"/>
  <c r="C11" i="2"/>
  <c r="C10" i="2"/>
  <c r="C18" i="4" l="1"/>
  <c r="C27" i="4" s="1"/>
  <c r="C15" i="4"/>
  <c r="C15" i="2"/>
  <c r="C24" i="1"/>
  <c r="C25" i="1" l="1"/>
  <c r="C17" i="1"/>
  <c r="C27" i="1" s="1"/>
  <c r="C33" i="1" s="1"/>
  <c r="C39" i="1" s="1"/>
  <c r="C18" i="1" l="1"/>
</calcChain>
</file>

<file path=xl/sharedStrings.xml><?xml version="1.0" encoding="utf-8"?>
<sst xmlns="http://schemas.openxmlformats.org/spreadsheetml/2006/main" count="203" uniqueCount="173">
  <si>
    <t>Wühlschaden</t>
  </si>
  <si>
    <t>Neueinsaat mit Fräse/Kreiselegge und Sämaschine</t>
  </si>
  <si>
    <t>Rüstzeit</t>
  </si>
  <si>
    <t>An- und Abbau der Maschinen an den Traktor, Saatgut einfüllen, Abfahrtskontrolle</t>
  </si>
  <si>
    <t>Fahrtzeit</t>
  </si>
  <si>
    <t>An- und Abfahrt</t>
  </si>
  <si>
    <t>Hof-Weinberg-Entfernung, km</t>
  </si>
  <si>
    <t>durchschnittliche Fahrgeschwindigkeit, km/h</t>
  </si>
  <si>
    <t>Zeitbedarf</t>
  </si>
  <si>
    <t>Zeitbedarf, Akh</t>
  </si>
  <si>
    <t xml:space="preserve">Arbeitszeit </t>
  </si>
  <si>
    <t>bei einer Überfahrt pro Zeile</t>
  </si>
  <si>
    <t>oder in Minuten</t>
  </si>
  <si>
    <t>zu bearbeitende Zeilenlänge, m</t>
  </si>
  <si>
    <t>Anzahl der Wendevorgänge (0,5 min/Wendung)</t>
  </si>
  <si>
    <t xml:space="preserve">Zeitbedarf </t>
  </si>
  <si>
    <t>insgesamt</t>
  </si>
  <si>
    <t>insgesamt, Akh</t>
  </si>
  <si>
    <t>Kosten</t>
  </si>
  <si>
    <t>variable Maschinenkosten</t>
  </si>
  <si>
    <t>Schmalspurschlepper, Vario, 54 kW, €/h</t>
  </si>
  <si>
    <t>Kreiselegge, 1,5 m, €/ha</t>
  </si>
  <si>
    <t>Sämaschine, 1,5 m, €/ha</t>
  </si>
  <si>
    <t>Zeilenbreite</t>
  </si>
  <si>
    <t>m</t>
  </si>
  <si>
    <t>Arbeit</t>
  </si>
  <si>
    <t>Kosten der Arbeitskraft, €/Akh</t>
  </si>
  <si>
    <t>Material</t>
  </si>
  <si>
    <t>Saatgut, €/ha</t>
  </si>
  <si>
    <t>hier können Daten eingetragen werden</t>
  </si>
  <si>
    <t>Rebanlage</t>
  </si>
  <si>
    <t>Ergebnisse, keine Eintragungen möglich</t>
  </si>
  <si>
    <t>Ertragsausfall in einer Anlage im Vollertrag</t>
  </si>
  <si>
    <t>z. B. durch Triebverbiss im Frühjahr,</t>
  </si>
  <si>
    <t>z. B. durch Traubenfraß</t>
  </si>
  <si>
    <t>entgangener Erlös</t>
  </si>
  <si>
    <t>oder €/l Wein</t>
  </si>
  <si>
    <t>Ø zu erwartender Erlös, €/kg</t>
  </si>
  <si>
    <t>Ø zu erwartender Ertrag, kg/ha</t>
  </si>
  <si>
    <t>oder l Wein/ha</t>
  </si>
  <si>
    <t>Ertragsausfall, %</t>
  </si>
  <si>
    <t>Ertragsausfall, kg/ha</t>
  </si>
  <si>
    <t>insgesamt, €</t>
  </si>
  <si>
    <t>eingesparte Erntekosten</t>
  </si>
  <si>
    <t>eingesparte Arbeitszeit</t>
  </si>
  <si>
    <t>Kosten pro Akh</t>
  </si>
  <si>
    <t>Mehraufwand Ernte</t>
  </si>
  <si>
    <t>aufgrund reduzierter</t>
  </si>
  <si>
    <t>Menge</t>
  </si>
  <si>
    <t>wegen Fäulnis</t>
  </si>
  <si>
    <t>aufgrund der</t>
  </si>
  <si>
    <t>Fraßtätigkeit</t>
  </si>
  <si>
    <t>Ernteleistung kg/Akh (80 - 100)</t>
  </si>
  <si>
    <t>Annahme: Einsparung nur bei den Aushilfen</t>
  </si>
  <si>
    <t>Annahme: Mehraufwand nur bei den Aushilfen</t>
  </si>
  <si>
    <t>Entschädigung insgesamt</t>
  </si>
  <si>
    <t>Entschädigung insgesamt (Saldo Schaden - Einsparung), €</t>
  </si>
  <si>
    <t>durch Triebverbiss</t>
  </si>
  <si>
    <t>geschädigte Fläche, m²</t>
  </si>
  <si>
    <t>entgangene Menge Trauben, kg</t>
  </si>
  <si>
    <t>entgangene Menge Wein, l</t>
  </si>
  <si>
    <t>zusätzlicher Arbeitszeitbedarf, Akh/ha</t>
  </si>
  <si>
    <t>Schädigung einer Neuanlage</t>
  </si>
  <si>
    <t xml:space="preserve">da ein Jahr später </t>
  </si>
  <si>
    <t>im Ertrag</t>
  </si>
  <si>
    <t>erneut nötiges Anbinden</t>
  </si>
  <si>
    <t>und Ausgeizen</t>
  </si>
  <si>
    <t>Standraum</t>
  </si>
  <si>
    <t>Zeilenbreite, m</t>
  </si>
  <si>
    <t>Stockabstand, m</t>
  </si>
  <si>
    <t>geschädigte Anzahl Stöcke</t>
  </si>
  <si>
    <t>oder Wein l/ha</t>
  </si>
  <si>
    <t>oder Wein, €/l</t>
  </si>
  <si>
    <t>Entschädigung insgesamt, €</t>
  </si>
  <si>
    <t>Arbeitszeit pro Stock, min</t>
  </si>
  <si>
    <t>zusätzlicher Materialaufwand, insg., €</t>
  </si>
  <si>
    <t>Anlage hat eine bestimmte Nutzungsdauer, dann wird sie gerodet.</t>
  </si>
  <si>
    <t xml:space="preserve">Dadurch haben die geschädigten Stöcke ein Jahr weniger Vollertrag </t>
  </si>
  <si>
    <t>Die anderen Phasen, wie Jungfeldjahre mit zunehmendem Ertrag,</t>
  </si>
  <si>
    <t>haben diese Stöcke genauso durchlaufen, nur eben ein Jahr später.</t>
  </si>
  <si>
    <t xml:space="preserve">Die Zinseffekte, dass diese Stöcke ein Jahr später in Ertrag kommen, </t>
  </si>
  <si>
    <t>wurden vernachlässigt.</t>
  </si>
  <si>
    <t>Grundlage:</t>
  </si>
  <si>
    <t>produziert, wenn man die gesamte Nutzungsdauer betrachtet.</t>
  </si>
  <si>
    <t>1 kg Trauben ergibt 0,78 l Wein (§ 10 WeinV)</t>
  </si>
  <si>
    <t>zusätzlicher Arbeitsaufwand, Akh</t>
  </si>
  <si>
    <t>Es wird angenommen, dass dadurch keine extra An- und Abfahrten nötig werden,</t>
  </si>
  <si>
    <t>sondern dass dies bei den regelmäßigen Arbeiten im Weinberg mit erledigt wird.</t>
  </si>
  <si>
    <t>Excel-Kalkulationshilfe zur Berechnung von Wildschäden</t>
  </si>
  <si>
    <t>eingesparte Kosten bei</t>
  </si>
  <si>
    <t>Weinausbau</t>
  </si>
  <si>
    <t>variable Kosten Weinbereitung, €/l</t>
  </si>
  <si>
    <t>Einsparung insgesamt, €</t>
  </si>
  <si>
    <t>durch</t>
  </si>
  <si>
    <t>Mehraufwand</t>
  </si>
  <si>
    <t>Checkliste Schadenermittlung und -ausmaß</t>
  </si>
  <si>
    <t xml:space="preserve">1. Aufnahme der persönlichen Daten aller Anwesenden </t>
  </si>
  <si>
    <t>(Name, Anschrift, Telefon, E-Mail)</t>
  </si>
  <si>
    <t xml:space="preserve">2. Tag der Schadenaufnahme </t>
  </si>
  <si>
    <t>(Datum)</t>
  </si>
  <si>
    <t>3. Eigentümer, Bewirtschafter, Pächter</t>
  </si>
  <si>
    <t>4. Dokumentation der Flurstücksdaten</t>
  </si>
  <si>
    <t>(Gemarkung, Flächengröße, Flutstücksnummer, Zustand der Fläche, Lage)</t>
  </si>
  <si>
    <t xml:space="preserve">5. Kulturdaten </t>
  </si>
  <si>
    <t>(Rebsorte, Pflanzjahr, Entwicklungsstadium der Rebe,</t>
  </si>
  <si>
    <t>Reihenabstand, Stockabstand, Stammhöhe)</t>
  </si>
  <si>
    <t xml:space="preserve">6. Produktionsziel </t>
  </si>
  <si>
    <t>(Menge, Qualität)</t>
  </si>
  <si>
    <t>7. Bisherige Betriebsergebnisse</t>
  </si>
  <si>
    <t>(Erträge, Erlöse der letzten Jahre, Referenzmenge pro Parzelle)</t>
  </si>
  <si>
    <t xml:space="preserve">8. Art der Vermarktung </t>
  </si>
  <si>
    <t>(Ablieferung von Trauben, Offenwein, Selbstvermarkter)</t>
  </si>
  <si>
    <t>9. Bewirtschaftungsform</t>
  </si>
  <si>
    <t>(Steillage, Direktzug)</t>
  </si>
  <si>
    <t>10. Bestehende Förderungen</t>
  </si>
  <si>
    <t>(FAKT, etc.)</t>
  </si>
  <si>
    <t>11. Platzierung des Schadens auf der Fläche</t>
  </si>
  <si>
    <t>12. Genaue Beschreibung des Schadens</t>
  </si>
  <si>
    <t>(Schadenart, Schadstell an der Kulturpflanze, sonstige Hinweise)</t>
  </si>
  <si>
    <t>13. Hinweise auf Wildtierart</t>
  </si>
  <si>
    <t>(Fährten, Kot, Wildwechsel, Schadensbild)</t>
  </si>
  <si>
    <t xml:space="preserve">14. Evtl. Schäden mit anderen Ursachen </t>
  </si>
  <si>
    <t>(Hagel, Frost, Fehlstellen)</t>
  </si>
  <si>
    <t>15. Fotos</t>
  </si>
  <si>
    <t>Quelle: Schätzrahmen Weinbau Landesbauernverband in Baden-Württemberg</t>
  </si>
  <si>
    <t>Rebsorte</t>
  </si>
  <si>
    <t>Kerner</t>
  </si>
  <si>
    <t>Flstnr.</t>
  </si>
  <si>
    <t>#</t>
  </si>
  <si>
    <t>Gemarkung.</t>
  </si>
  <si>
    <t>Gesamt m²</t>
  </si>
  <si>
    <t>Geschädigte Fläche in m²</t>
  </si>
  <si>
    <t>Ertragsreben auf der geschädigten Fläche</t>
  </si>
  <si>
    <t>Geschädigte Knospen</t>
  </si>
  <si>
    <t>Gesamte Knospen</t>
  </si>
  <si>
    <t>Trauben pro Knospe</t>
  </si>
  <si>
    <t>Traubenzahl</t>
  </si>
  <si>
    <t>Traubengewicht in kg</t>
  </si>
  <si>
    <t>Gesamtgewicht in kg</t>
  </si>
  <si>
    <t>Ausbeutesatz in %</t>
  </si>
  <si>
    <t>Flaschenpreis 1,0 l netto in EURO</t>
  </si>
  <si>
    <t>Ersparte Ausbau- und Vertriebskosten je Flasche</t>
  </si>
  <si>
    <t>Preis in EURO je Flasche bzw. kg</t>
  </si>
  <si>
    <t>Mehrwertsteuer 10,7 %</t>
  </si>
  <si>
    <t>Schaden je Flasche in EURO</t>
  </si>
  <si>
    <t>Schaden in EURO</t>
  </si>
  <si>
    <t>Preis in EURO je 1,0 l bzw. kg</t>
  </si>
  <si>
    <t>Gesamtschaden in Euro</t>
  </si>
  <si>
    <t>Wildschadensschätzung im Weinbau</t>
  </si>
  <si>
    <t xml:space="preserve">In Zusammenarbeit zwischen dem Landwirtschaftlichen Zentrum Baden-Württemberg (LAZBW) </t>
  </si>
  <si>
    <t xml:space="preserve">und der Staatlichen Lehr und Versuchsanstalt für Wein- und Obstbau (LVWO) fand am 24.09.2021 </t>
  </si>
  <si>
    <t xml:space="preserve">an der LVWO in Weinsberg eine Schulung für die Wildschadensschätzung im Weinbau statt. </t>
  </si>
  <si>
    <t xml:space="preserve">Dieses Aufbaumodul der Wildschadensschätzung im Feld ist Voraussetzung für die Schätzung </t>
  </si>
  <si>
    <t>von Wildschäden im Weinbau.</t>
  </si>
  <si>
    <t>Die folgenden Tabellenblätter enthalten Unterlagen zum Seminar, sowie Kalkulationshilfen</t>
  </si>
  <si>
    <t>zur Berechnung von Schadensfällen.</t>
  </si>
  <si>
    <t>Weinsberg, den 01.10.2021</t>
  </si>
  <si>
    <t>Hanns-Christoph Schiefer</t>
  </si>
  <si>
    <t>Uwe Michelfelder</t>
  </si>
  <si>
    <t>Ref. Weinbau</t>
  </si>
  <si>
    <t>Ref. Betriebswirtschaft</t>
  </si>
  <si>
    <t>LVWO Weinsberg</t>
  </si>
  <si>
    <t>Fall:</t>
  </si>
  <si>
    <t>Knospenfraß</t>
  </si>
  <si>
    <t>Flaschengröße in Liter</t>
  </si>
  <si>
    <r>
      <t>Gesamtschaden in Liter</t>
    </r>
    <r>
      <rPr>
        <sz val="10"/>
        <color theme="1"/>
        <rFont val="Arial"/>
        <family val="2"/>
      </rPr>
      <t xml:space="preserve"> (Ausbeute 75 %)</t>
    </r>
  </si>
  <si>
    <t>Flaschenwein, Anteil 10%</t>
  </si>
  <si>
    <t>Gesamt Flaschen á 1,0 l bei Anteil 10 %</t>
  </si>
  <si>
    <t>Besenvermarktung, Anteil 90%</t>
  </si>
  <si>
    <t>Besenvermarktung in Liter bei Anteil 90%</t>
  </si>
  <si>
    <t>Verkaufspreis pro 1,0 l, netto, in EURO</t>
  </si>
  <si>
    <t>Ersparte Ausbau- und Vertriebskosten, EURO je Liter</t>
  </si>
  <si>
    <t>Mehrwertsteuer 10,7 %, in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</si>
</sst>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"/>
    <numFmt numFmtId="165" formatCode="#,##0_ ;\-#,##0\ "/>
  </numFmts>
  <fonts count="1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24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0" applyFont="1"/>
    <xf numFmtId="4" fontId="0" fillId="3" borderId="7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0" fontId="0" fillId="3" borderId="7" xfId="0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3" borderId="8" xfId="0" applyFill="1" applyBorder="1" applyProtection="1">
      <protection locked="0"/>
    </xf>
    <xf numFmtId="44" fontId="0" fillId="3" borderId="7" xfId="1" applyFont="1" applyFill="1" applyBorder="1" applyProtection="1">
      <protection locked="0"/>
    </xf>
    <xf numFmtId="44" fontId="0" fillId="3" borderId="8" xfId="1" applyFont="1" applyFill="1" applyBorder="1" applyProtection="1">
      <protection locked="0"/>
    </xf>
    <xf numFmtId="44" fontId="0" fillId="3" borderId="1" xfId="1" applyFon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0" fontId="9" fillId="0" borderId="0" xfId="0" applyFont="1"/>
    <xf numFmtId="0" fontId="10" fillId="0" borderId="0" xfId="0" applyFont="1"/>
    <xf numFmtId="0" fontId="0" fillId="3" borderId="1" xfId="0" applyFill="1" applyBorder="1" applyProtection="1">
      <protection locked="0"/>
    </xf>
    <xf numFmtId="43" fontId="0" fillId="3" borderId="1" xfId="2" applyFont="1" applyFill="1" applyBorder="1" applyProtection="1">
      <protection locked="0"/>
    </xf>
    <xf numFmtId="165" fontId="0" fillId="3" borderId="1" xfId="1" applyNumberFormat="1" applyFont="1" applyFill="1" applyBorder="1" applyAlignment="1" applyProtection="1">
      <alignment horizontal="right"/>
      <protection locked="0"/>
    </xf>
    <xf numFmtId="0" fontId="4" fillId="0" borderId="0" xfId="0" applyFont="1" applyProtection="1"/>
    <xf numFmtId="0" fontId="0" fillId="0" borderId="0" xfId="0" applyProtection="1"/>
    <xf numFmtId="0" fontId="3" fillId="0" borderId="0" xfId="0" applyFont="1" applyProtection="1"/>
    <xf numFmtId="0" fontId="2" fillId="0" borderId="7" xfId="0" applyFont="1" applyBorder="1" applyProtection="1"/>
    <xf numFmtId="0" fontId="0" fillId="0" borderId="7" xfId="0" applyBorder="1" applyProtection="1"/>
    <xf numFmtId="0" fontId="0" fillId="0" borderId="9" xfId="0" applyBorder="1" applyProtection="1"/>
    <xf numFmtId="0" fontId="2" fillId="0" borderId="2" xfId="0" applyFont="1" applyBorder="1" applyProtection="1"/>
    <xf numFmtId="0" fontId="0" fillId="0" borderId="1" xfId="0" applyBorder="1" applyAlignment="1" applyProtection="1">
      <alignment wrapText="1"/>
    </xf>
    <xf numFmtId="0" fontId="0" fillId="0" borderId="4" xfId="0" applyBorder="1" applyProtection="1"/>
    <xf numFmtId="0" fontId="0" fillId="0" borderId="1" xfId="0" applyBorder="1" applyAlignment="1" applyProtection="1">
      <alignment horizontal="center"/>
    </xf>
    <xf numFmtId="0" fontId="0" fillId="0" borderId="1" xfId="0" applyBorder="1" applyProtection="1"/>
    <xf numFmtId="0" fontId="0" fillId="0" borderId="1" xfId="0" applyBorder="1" applyAlignment="1" applyProtection="1">
      <alignment horizontal="left"/>
    </xf>
    <xf numFmtId="0" fontId="0" fillId="2" borderId="1" xfId="0" applyFill="1" applyBorder="1" applyProtection="1"/>
    <xf numFmtId="3" fontId="0" fillId="2" borderId="1" xfId="0" applyNumberFormat="1" applyFill="1" applyBorder="1" applyProtection="1"/>
    <xf numFmtId="0" fontId="0" fillId="0" borderId="1" xfId="0" applyFill="1" applyBorder="1" applyProtection="1"/>
    <xf numFmtId="0" fontId="0" fillId="0" borderId="11" xfId="0" applyFill="1" applyBorder="1" applyProtection="1"/>
    <xf numFmtId="3" fontId="0" fillId="0" borderId="12" xfId="0" applyNumberFormat="1" applyFill="1" applyBorder="1" applyProtection="1"/>
    <xf numFmtId="0" fontId="0" fillId="0" borderId="5" xfId="0" applyBorder="1" applyProtection="1"/>
    <xf numFmtId="0" fontId="2" fillId="0" borderId="10" xfId="0" applyFont="1" applyBorder="1" applyAlignment="1" applyProtection="1">
      <alignment horizontal="center"/>
    </xf>
    <xf numFmtId="44" fontId="7" fillId="2" borderId="12" xfId="1" applyFont="1" applyFill="1" applyBorder="1" applyProtection="1"/>
    <xf numFmtId="0" fontId="0" fillId="0" borderId="1" xfId="0" applyFill="1" applyBorder="1" applyAlignment="1" applyProtection="1">
      <alignment horizontal="left"/>
    </xf>
    <xf numFmtId="2" fontId="0" fillId="2" borderId="1" xfId="0" applyNumberFormat="1" applyFill="1" applyBorder="1" applyProtection="1"/>
    <xf numFmtId="0" fontId="0" fillId="0" borderId="10" xfId="0" applyFill="1" applyBorder="1" applyProtection="1"/>
    <xf numFmtId="44" fontId="2" fillId="2" borderId="1" xfId="1" applyFont="1" applyFill="1" applyBorder="1" applyProtection="1"/>
    <xf numFmtId="0" fontId="2" fillId="0" borderId="10" xfId="0" applyFont="1" applyBorder="1" applyProtection="1"/>
    <xf numFmtId="0" fontId="0" fillId="0" borderId="11" xfId="0" applyBorder="1" applyProtection="1"/>
    <xf numFmtId="44" fontId="2" fillId="2" borderId="12" xfId="1" applyFont="1" applyFill="1" applyBorder="1" applyProtection="1"/>
    <xf numFmtId="0" fontId="0" fillId="0" borderId="0" xfId="0" applyFill="1" applyBorder="1" applyProtection="1"/>
    <xf numFmtId="44" fontId="0" fillId="0" borderId="0" xfId="1" applyFont="1" applyFill="1" applyBorder="1" applyProtection="1"/>
    <xf numFmtId="0" fontId="0" fillId="3" borderId="0" xfId="0" applyFill="1" applyProtection="1"/>
    <xf numFmtId="0" fontId="0" fillId="2" borderId="0" xfId="0" applyFill="1" applyProtection="1"/>
    <xf numFmtId="0" fontId="0" fillId="0" borderId="0" xfId="0" applyBorder="1" applyProtection="1"/>
    <xf numFmtId="0" fontId="0" fillId="0" borderId="13" xfId="0" applyBorder="1" applyProtection="1"/>
    <xf numFmtId="0" fontId="2" fillId="0" borderId="0" xfId="0" applyFont="1" applyBorder="1" applyAlignment="1" applyProtection="1">
      <alignment horizontal="center"/>
    </xf>
    <xf numFmtId="44" fontId="2" fillId="0" borderId="0" xfId="1" applyFont="1" applyFill="1" applyBorder="1" applyProtection="1"/>
    <xf numFmtId="44" fontId="0" fillId="0" borderId="13" xfId="1" applyFont="1" applyFill="1" applyBorder="1" applyProtection="1"/>
    <xf numFmtId="0" fontId="0" fillId="0" borderId="10" xfId="0" applyBorder="1" applyProtection="1"/>
    <xf numFmtId="0" fontId="2" fillId="0" borderId="5" xfId="0" applyFont="1" applyBorder="1" applyProtection="1"/>
    <xf numFmtId="0" fontId="0" fillId="0" borderId="14" xfId="0" applyBorder="1" applyProtection="1"/>
    <xf numFmtId="0" fontId="2" fillId="0" borderId="0" xfId="0" applyFont="1" applyBorder="1" applyProtection="1"/>
    <xf numFmtId="3" fontId="0" fillId="3" borderId="1" xfId="0" applyNumberFormat="1" applyFill="1" applyBorder="1" applyAlignment="1" applyProtection="1">
      <alignment horizontal="right"/>
      <protection locked="0"/>
    </xf>
    <xf numFmtId="3" fontId="0" fillId="3" borderId="1" xfId="2" applyNumberFormat="1" applyFont="1" applyFill="1" applyBorder="1" applyAlignment="1" applyProtection="1">
      <alignment horizontal="right"/>
      <protection locked="0"/>
    </xf>
    <xf numFmtId="44" fontId="0" fillId="3" borderId="12" xfId="1" applyFont="1" applyFill="1" applyBorder="1" applyProtection="1">
      <protection locked="0"/>
    </xf>
    <xf numFmtId="0" fontId="0" fillId="0" borderId="0" xfId="0" applyFont="1" applyProtection="1"/>
    <xf numFmtId="0" fontId="2" fillId="0" borderId="0" xfId="0" applyFont="1" applyProtection="1"/>
    <xf numFmtId="2" fontId="0" fillId="0" borderId="0" xfId="0" applyNumberFormat="1" applyProtection="1"/>
    <xf numFmtId="0" fontId="0" fillId="0" borderId="2" xfId="0" applyBorder="1" applyProtection="1"/>
    <xf numFmtId="0" fontId="0" fillId="0" borderId="7" xfId="0" applyBorder="1" applyAlignment="1" applyProtection="1">
      <alignment wrapText="1"/>
    </xf>
    <xf numFmtId="2" fontId="0" fillId="2" borderId="8" xfId="0" applyNumberFormat="1" applyFill="1" applyBorder="1" applyProtection="1"/>
    <xf numFmtId="0" fontId="0" fillId="2" borderId="9" xfId="0" applyFill="1" applyBorder="1" applyProtection="1"/>
    <xf numFmtId="0" fontId="2" fillId="0" borderId="11" xfId="0" applyFont="1" applyBorder="1" applyAlignment="1" applyProtection="1">
      <alignment horizontal="center"/>
    </xf>
    <xf numFmtId="4" fontId="2" fillId="2" borderId="1" xfId="0" applyNumberFormat="1" applyFont="1" applyFill="1" applyBorder="1" applyProtection="1"/>
    <xf numFmtId="0" fontId="0" fillId="0" borderId="3" xfId="0" applyBorder="1" applyProtection="1"/>
    <xf numFmtId="0" fontId="0" fillId="0" borderId="6" xfId="0" applyBorder="1" applyProtection="1"/>
    <xf numFmtId="44" fontId="0" fillId="2" borderId="9" xfId="0" applyNumberFormat="1" applyFill="1" applyBorder="1" applyProtection="1"/>
    <xf numFmtId="0" fontId="2" fillId="0" borderId="11" xfId="0" applyFont="1" applyBorder="1" applyProtection="1"/>
    <xf numFmtId="44" fontId="2" fillId="2" borderId="1" xfId="0" applyNumberFormat="1" applyFont="1" applyFill="1" applyBorder="1" applyProtection="1"/>
    <xf numFmtId="0" fontId="8" fillId="0" borderId="1" xfId="0" applyFont="1" applyBorder="1" applyProtection="1"/>
    <xf numFmtId="0" fontId="0" fillId="0" borderId="1" xfId="0" applyBorder="1" applyAlignment="1" applyProtection="1">
      <alignment horizontal="right"/>
    </xf>
    <xf numFmtId="4" fontId="0" fillId="0" borderId="0" xfId="0" applyNumberFormat="1" applyFill="1" applyBorder="1" applyProtection="1"/>
    <xf numFmtId="0" fontId="2" fillId="0" borderId="1" xfId="0" applyFont="1" applyBorder="1" applyProtection="1"/>
    <xf numFmtId="4" fontId="0" fillId="0" borderId="0" xfId="0" applyNumberFormat="1" applyFill="1" applyProtection="1"/>
    <xf numFmtId="0" fontId="8" fillId="0" borderId="0" xfId="0" applyFont="1" applyProtection="1"/>
    <xf numFmtId="0" fontId="5" fillId="0" borderId="1" xfId="0" applyFont="1" applyBorder="1" applyProtection="1"/>
    <xf numFmtId="44" fontId="0" fillId="2" borderId="1" xfId="1" applyFont="1" applyFill="1" applyBorder="1" applyProtection="1"/>
    <xf numFmtId="4" fontId="0" fillId="2" borderId="1" xfId="0" applyNumberFormat="1" applyFill="1" applyBorder="1" applyProtection="1"/>
    <xf numFmtId="4" fontId="0" fillId="0" borderId="0" xfId="0" applyNumberFormat="1" applyProtection="1"/>
    <xf numFmtId="0" fontId="0" fillId="3" borderId="1" xfId="0" applyFill="1" applyBorder="1" applyAlignment="1" applyProtection="1">
      <alignment horizontal="right"/>
      <protection locked="0"/>
    </xf>
  </cellXfs>
  <cellStyles count="3">
    <cellStyle name="Komma" xfId="2" builtinId="3"/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467418</xdr:colOff>
      <xdr:row>25</xdr:row>
      <xdr:rowOff>93865</xdr:rowOff>
    </xdr:to>
    <xdr:pic>
      <xdr:nvPicPr>
        <xdr:cNvPr id="4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14138" cy="404241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16626</xdr:colOff>
          <xdr:row>26</xdr:row>
          <xdr:rowOff>91441</xdr:rowOff>
        </xdr:from>
        <xdr:to>
          <xdr:col>11</xdr:col>
          <xdr:colOff>116378</xdr:colOff>
          <xdr:row>60</xdr:row>
          <xdr:rowOff>16626</xdr:rowOff>
        </xdr:to>
        <xdr:sp macro="" textlink="">
          <xdr:nvSpPr>
            <xdr:cNvPr id="6146" name="Objekt 3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Excel-Arbeitsblatt.xls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F24" sqref="F24"/>
    </sheetView>
  </sheetViews>
  <sheetFormatPr baseColWidth="10" defaultRowHeight="12.45" x14ac:dyDescent="0.2"/>
  <sheetData>
    <row r="1" spans="1:4" ht="17.7" x14ac:dyDescent="0.3">
      <c r="A1" s="2" t="s">
        <v>148</v>
      </c>
    </row>
    <row r="4" spans="1:4" x14ac:dyDescent="0.2">
      <c r="A4" t="s">
        <v>149</v>
      </c>
    </row>
    <row r="5" spans="1:4" x14ac:dyDescent="0.2">
      <c r="A5" t="s">
        <v>150</v>
      </c>
    </row>
    <row r="6" spans="1:4" x14ac:dyDescent="0.2">
      <c r="A6" t="s">
        <v>151</v>
      </c>
    </row>
    <row r="7" spans="1:4" x14ac:dyDescent="0.2">
      <c r="A7" t="s">
        <v>152</v>
      </c>
    </row>
    <row r="8" spans="1:4" x14ac:dyDescent="0.2">
      <c r="A8" t="s">
        <v>153</v>
      </c>
    </row>
    <row r="10" spans="1:4" x14ac:dyDescent="0.2">
      <c r="A10" t="s">
        <v>154</v>
      </c>
    </row>
    <row r="11" spans="1:4" x14ac:dyDescent="0.2">
      <c r="A11" t="s">
        <v>155</v>
      </c>
    </row>
    <row r="13" spans="1:4" x14ac:dyDescent="0.2">
      <c r="A13" t="s">
        <v>156</v>
      </c>
    </row>
    <row r="15" spans="1:4" ht="13.1" x14ac:dyDescent="0.25">
      <c r="A15" s="1" t="s">
        <v>157</v>
      </c>
      <c r="D15" s="1" t="s">
        <v>158</v>
      </c>
    </row>
    <row r="16" spans="1:4" x14ac:dyDescent="0.2">
      <c r="A16" t="s">
        <v>161</v>
      </c>
      <c r="D16" t="s">
        <v>161</v>
      </c>
    </row>
    <row r="17" spans="1:4" x14ac:dyDescent="0.2">
      <c r="A17" t="s">
        <v>159</v>
      </c>
      <c r="D17" t="s">
        <v>160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D11" sqref="D11"/>
    </sheetView>
  </sheetViews>
  <sheetFormatPr baseColWidth="10" defaultRowHeight="12.45" x14ac:dyDescent="0.2"/>
  <sheetData>
    <row r="1" spans="1:8" ht="30.15" x14ac:dyDescent="0.45">
      <c r="A1" s="14" t="s">
        <v>95</v>
      </c>
      <c r="B1" s="3"/>
      <c r="C1" s="3"/>
      <c r="D1" s="3"/>
      <c r="E1" s="3"/>
      <c r="F1" s="3"/>
      <c r="G1" s="3"/>
      <c r="H1" s="3"/>
    </row>
    <row r="2" spans="1:8" ht="15.05" x14ac:dyDescent="0.25">
      <c r="A2" s="3"/>
      <c r="B2" s="3"/>
      <c r="C2" s="3"/>
      <c r="D2" s="3"/>
      <c r="E2" s="3"/>
      <c r="F2" s="3"/>
      <c r="G2" s="3"/>
      <c r="H2" s="3"/>
    </row>
    <row r="3" spans="1:8" ht="20" customHeight="1" x14ac:dyDescent="0.25">
      <c r="A3" s="3" t="s">
        <v>96</v>
      </c>
      <c r="B3" s="3"/>
      <c r="C3" s="3"/>
      <c r="D3" s="3"/>
      <c r="E3" s="3"/>
      <c r="F3" s="3"/>
      <c r="G3" s="3"/>
      <c r="H3" s="3"/>
    </row>
    <row r="4" spans="1:8" ht="20" customHeight="1" x14ac:dyDescent="0.25">
      <c r="A4" s="3"/>
      <c r="B4" s="3" t="s">
        <v>97</v>
      </c>
      <c r="C4" s="3"/>
      <c r="D4" s="3"/>
      <c r="E4" s="3"/>
      <c r="F4" s="3"/>
      <c r="G4" s="3"/>
      <c r="H4" s="3"/>
    </row>
    <row r="5" spans="1:8" ht="20" customHeight="1" x14ac:dyDescent="0.25">
      <c r="A5" s="3" t="s">
        <v>98</v>
      </c>
      <c r="B5" s="3"/>
      <c r="C5" s="3"/>
      <c r="D5" s="3"/>
      <c r="E5" s="3"/>
      <c r="F5" s="3"/>
      <c r="G5" s="3"/>
      <c r="H5" s="3"/>
    </row>
    <row r="6" spans="1:8" ht="20" customHeight="1" x14ac:dyDescent="0.25">
      <c r="A6" s="3"/>
      <c r="B6" s="3" t="s">
        <v>99</v>
      </c>
      <c r="C6" s="3"/>
      <c r="D6" s="3"/>
      <c r="E6" s="3"/>
      <c r="F6" s="3"/>
      <c r="G6" s="3"/>
      <c r="H6" s="3"/>
    </row>
    <row r="7" spans="1:8" ht="20" customHeight="1" x14ac:dyDescent="0.25">
      <c r="A7" s="3" t="s">
        <v>100</v>
      </c>
      <c r="B7" s="3"/>
      <c r="C7" s="3"/>
      <c r="D7" s="3"/>
      <c r="E7" s="3"/>
      <c r="F7" s="3"/>
      <c r="G7" s="3"/>
      <c r="H7" s="3"/>
    </row>
    <row r="8" spans="1:8" ht="20" customHeight="1" x14ac:dyDescent="0.25">
      <c r="A8" s="3" t="s">
        <v>101</v>
      </c>
      <c r="B8" s="3"/>
      <c r="C8" s="3"/>
      <c r="D8" s="3"/>
      <c r="E8" s="3"/>
      <c r="F8" s="3"/>
      <c r="G8" s="3"/>
      <c r="H8" s="3"/>
    </row>
    <row r="9" spans="1:8" ht="20" customHeight="1" x14ac:dyDescent="0.25">
      <c r="A9" s="3"/>
      <c r="B9" s="3" t="s">
        <v>102</v>
      </c>
      <c r="C9" s="3"/>
      <c r="D9" s="3"/>
      <c r="E9" s="3"/>
      <c r="F9" s="3"/>
      <c r="G9" s="3"/>
      <c r="H9" s="3"/>
    </row>
    <row r="10" spans="1:8" ht="20" customHeight="1" x14ac:dyDescent="0.25">
      <c r="A10" s="3" t="s">
        <v>103</v>
      </c>
      <c r="B10" s="3"/>
      <c r="C10" s="3"/>
      <c r="D10" s="3"/>
      <c r="E10" s="3"/>
      <c r="F10" s="3"/>
      <c r="G10" s="3"/>
      <c r="H10" s="3"/>
    </row>
    <row r="11" spans="1:8" ht="20" customHeight="1" x14ac:dyDescent="0.25">
      <c r="A11" s="3"/>
      <c r="B11" s="3" t="s">
        <v>104</v>
      </c>
      <c r="C11" s="3"/>
      <c r="D11" s="3"/>
      <c r="E11" s="3"/>
      <c r="F11" s="3"/>
      <c r="G11" s="3"/>
      <c r="H11" s="3"/>
    </row>
    <row r="12" spans="1:8" ht="20" customHeight="1" x14ac:dyDescent="0.25">
      <c r="A12" s="3"/>
      <c r="B12" s="3" t="s">
        <v>105</v>
      </c>
      <c r="C12" s="3"/>
      <c r="D12" s="3"/>
      <c r="E12" s="3"/>
      <c r="F12" s="3"/>
      <c r="G12" s="3"/>
      <c r="H12" s="3"/>
    </row>
    <row r="13" spans="1:8" ht="20" customHeight="1" x14ac:dyDescent="0.25">
      <c r="A13" s="3" t="s">
        <v>106</v>
      </c>
      <c r="B13" s="3"/>
      <c r="C13" s="3"/>
      <c r="D13" s="3"/>
      <c r="E13" s="3"/>
      <c r="F13" s="3"/>
      <c r="G13" s="3"/>
      <c r="H13" s="3"/>
    </row>
    <row r="14" spans="1:8" ht="20" customHeight="1" x14ac:dyDescent="0.25">
      <c r="A14" s="3"/>
      <c r="B14" s="3" t="s">
        <v>107</v>
      </c>
      <c r="C14" s="3"/>
      <c r="D14" s="3"/>
      <c r="E14" s="3"/>
      <c r="F14" s="3"/>
      <c r="G14" s="3"/>
      <c r="H14" s="3"/>
    </row>
    <row r="15" spans="1:8" ht="20" customHeight="1" x14ac:dyDescent="0.25">
      <c r="A15" s="3" t="s">
        <v>108</v>
      </c>
      <c r="B15" s="3"/>
      <c r="C15" s="3"/>
      <c r="D15" s="3"/>
      <c r="E15" s="3"/>
      <c r="F15" s="3"/>
      <c r="G15" s="3"/>
      <c r="H15" s="3"/>
    </row>
    <row r="16" spans="1:8" ht="20" customHeight="1" x14ac:dyDescent="0.25">
      <c r="A16" s="3"/>
      <c r="B16" s="3" t="s">
        <v>109</v>
      </c>
      <c r="C16" s="3"/>
      <c r="D16" s="3"/>
      <c r="E16" s="3"/>
      <c r="F16" s="3"/>
      <c r="G16" s="3"/>
      <c r="H16" s="3"/>
    </row>
    <row r="17" spans="1:8" ht="20" customHeight="1" x14ac:dyDescent="0.25">
      <c r="A17" s="3" t="s">
        <v>110</v>
      </c>
      <c r="B17" s="3"/>
      <c r="C17" s="3"/>
      <c r="D17" s="3"/>
      <c r="E17" s="3"/>
      <c r="F17" s="3"/>
      <c r="G17" s="3"/>
      <c r="H17" s="3"/>
    </row>
    <row r="18" spans="1:8" ht="20" customHeight="1" x14ac:dyDescent="0.25">
      <c r="A18" s="3"/>
      <c r="B18" s="3" t="s">
        <v>111</v>
      </c>
      <c r="C18" s="3"/>
      <c r="D18" s="3"/>
      <c r="E18" s="3"/>
      <c r="F18" s="3"/>
      <c r="G18" s="3"/>
      <c r="H18" s="3"/>
    </row>
    <row r="19" spans="1:8" ht="20" customHeight="1" x14ac:dyDescent="0.25">
      <c r="A19" s="3" t="s">
        <v>112</v>
      </c>
      <c r="B19" s="3"/>
      <c r="C19" s="3"/>
      <c r="D19" s="3"/>
      <c r="E19" s="3"/>
      <c r="F19" s="3"/>
      <c r="G19" s="3"/>
      <c r="H19" s="3"/>
    </row>
    <row r="20" spans="1:8" ht="20" customHeight="1" x14ac:dyDescent="0.25">
      <c r="A20" s="3"/>
      <c r="B20" s="3" t="s">
        <v>113</v>
      </c>
      <c r="C20" s="3"/>
      <c r="D20" s="3"/>
      <c r="E20" s="3"/>
      <c r="F20" s="3"/>
      <c r="G20" s="3"/>
      <c r="H20" s="3"/>
    </row>
    <row r="21" spans="1:8" ht="20" customHeight="1" x14ac:dyDescent="0.25">
      <c r="A21" s="3" t="s">
        <v>114</v>
      </c>
      <c r="B21" s="3"/>
      <c r="C21" s="3"/>
      <c r="D21" s="3"/>
      <c r="E21" s="3"/>
      <c r="F21" s="3"/>
      <c r="G21" s="3"/>
      <c r="H21" s="3"/>
    </row>
    <row r="22" spans="1:8" ht="20" customHeight="1" x14ac:dyDescent="0.25">
      <c r="A22" s="3"/>
      <c r="B22" s="3" t="s">
        <v>115</v>
      </c>
      <c r="C22" s="3"/>
      <c r="D22" s="3"/>
      <c r="E22" s="3"/>
      <c r="F22" s="3"/>
      <c r="G22" s="3"/>
      <c r="H22" s="3"/>
    </row>
    <row r="23" spans="1:8" ht="20" customHeight="1" x14ac:dyDescent="0.25">
      <c r="A23" s="3" t="s">
        <v>116</v>
      </c>
      <c r="B23" s="3"/>
      <c r="C23" s="3"/>
      <c r="D23" s="3"/>
      <c r="E23" s="3"/>
      <c r="F23" s="3"/>
      <c r="G23" s="3"/>
      <c r="H23" s="3"/>
    </row>
    <row r="24" spans="1:8" ht="20" customHeight="1" x14ac:dyDescent="0.25">
      <c r="A24" s="3" t="s">
        <v>117</v>
      </c>
      <c r="B24" s="3"/>
      <c r="C24" s="3"/>
      <c r="D24" s="3"/>
      <c r="E24" s="3"/>
      <c r="F24" s="3"/>
      <c r="G24" s="3"/>
      <c r="H24" s="3"/>
    </row>
    <row r="25" spans="1:8" ht="20" customHeight="1" x14ac:dyDescent="0.25">
      <c r="A25" s="3"/>
      <c r="B25" s="3" t="s">
        <v>118</v>
      </c>
      <c r="C25" s="3"/>
      <c r="D25" s="3"/>
      <c r="E25" s="3"/>
      <c r="F25" s="3"/>
      <c r="G25" s="3"/>
      <c r="H25" s="3"/>
    </row>
    <row r="26" spans="1:8" ht="20" customHeight="1" x14ac:dyDescent="0.25">
      <c r="A26" s="3" t="s">
        <v>119</v>
      </c>
      <c r="B26" s="3"/>
      <c r="C26" s="3"/>
      <c r="D26" s="3"/>
      <c r="E26" s="3"/>
      <c r="F26" s="3"/>
      <c r="G26" s="3"/>
      <c r="H26" s="3"/>
    </row>
    <row r="27" spans="1:8" ht="20" customHeight="1" x14ac:dyDescent="0.25">
      <c r="A27" s="3"/>
      <c r="B27" s="3" t="s">
        <v>120</v>
      </c>
      <c r="C27" s="3"/>
      <c r="D27" s="3"/>
      <c r="E27" s="3"/>
      <c r="F27" s="3"/>
      <c r="G27" s="3"/>
      <c r="H27" s="3"/>
    </row>
    <row r="28" spans="1:8" ht="20" customHeight="1" x14ac:dyDescent="0.25">
      <c r="A28" s="3" t="s">
        <v>121</v>
      </c>
      <c r="B28" s="3"/>
      <c r="C28" s="3"/>
      <c r="D28" s="3"/>
      <c r="E28" s="3"/>
      <c r="F28" s="3"/>
      <c r="G28" s="3"/>
      <c r="H28" s="3"/>
    </row>
    <row r="29" spans="1:8" ht="20" customHeight="1" x14ac:dyDescent="0.25">
      <c r="A29" s="3"/>
      <c r="B29" s="3" t="s">
        <v>122</v>
      </c>
      <c r="C29" s="3"/>
      <c r="D29" s="3"/>
      <c r="E29" s="3"/>
      <c r="F29" s="3"/>
      <c r="G29" s="3"/>
      <c r="H29" s="3"/>
    </row>
    <row r="30" spans="1:8" ht="15.05" x14ac:dyDescent="0.25">
      <c r="A30" s="3" t="s">
        <v>123</v>
      </c>
      <c r="B30" s="3"/>
      <c r="C30" s="3"/>
      <c r="D30" s="3"/>
      <c r="E30" s="3"/>
      <c r="F30" s="3"/>
      <c r="G30" s="3"/>
      <c r="H30" s="3"/>
    </row>
    <row r="31" spans="1:8" ht="15.05" x14ac:dyDescent="0.25">
      <c r="A31" s="3"/>
      <c r="B31" s="3"/>
      <c r="C31" s="3"/>
      <c r="D31" s="3"/>
      <c r="E31" s="3"/>
      <c r="F31" s="3"/>
      <c r="G31" s="3"/>
      <c r="H31" s="3"/>
    </row>
    <row r="32" spans="1:8" ht="15.05" x14ac:dyDescent="0.25">
      <c r="A32" s="3"/>
      <c r="B32" s="3"/>
      <c r="C32" s="3"/>
      <c r="D32" s="3"/>
      <c r="E32" s="3"/>
      <c r="F32" s="3"/>
      <c r="G32" s="3"/>
      <c r="H32" s="3"/>
    </row>
    <row r="33" spans="1:8" ht="15.05" x14ac:dyDescent="0.25">
      <c r="A33" s="3"/>
      <c r="B33" s="3"/>
      <c r="C33" s="3"/>
      <c r="D33" s="3"/>
      <c r="E33" s="3"/>
      <c r="F33" s="3"/>
      <c r="G33" s="3"/>
      <c r="H33" s="3"/>
    </row>
    <row r="34" spans="1:8" ht="15.05" x14ac:dyDescent="0.25">
      <c r="A34" s="3"/>
      <c r="B34" s="3"/>
      <c r="C34" s="3"/>
      <c r="D34" s="3"/>
      <c r="E34" s="3"/>
      <c r="F34" s="3"/>
      <c r="G34" s="3"/>
      <c r="H34" s="3"/>
    </row>
    <row r="35" spans="1:8" ht="15.05" x14ac:dyDescent="0.25">
      <c r="A35" s="3"/>
      <c r="B35" s="3"/>
      <c r="C35" s="3"/>
      <c r="D35" s="3"/>
      <c r="E35" s="3"/>
      <c r="F35" s="3"/>
      <c r="G35" s="3"/>
      <c r="H35" s="3"/>
    </row>
    <row r="36" spans="1:8" ht="15.05" x14ac:dyDescent="0.25">
      <c r="A36" s="15" t="s">
        <v>124</v>
      </c>
      <c r="B36" s="3"/>
      <c r="C36" s="3"/>
      <c r="D36" s="3"/>
      <c r="E36" s="3"/>
      <c r="F36" s="3"/>
      <c r="G36" s="3"/>
      <c r="H36" s="3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topLeftCell="A31" workbookViewId="0">
      <selection activeCell="M32" sqref="M32"/>
    </sheetView>
  </sheetViews>
  <sheetFormatPr baseColWidth="10" defaultRowHeight="12.45" x14ac:dyDescent="0.2"/>
  <sheetData/>
  <pageMargins left="0.7" right="0.7" top="0.78740157499999996" bottom="0.78740157499999996" header="0.3" footer="0.3"/>
  <drawing r:id="rId1"/>
  <legacyDrawing r:id="rId2"/>
  <oleObjects>
    <mc:AlternateContent xmlns:mc="http://schemas.openxmlformats.org/markup-compatibility/2006">
      <mc:Choice Requires="x14">
        <oleObject progId="Excel.Sheet.12" shapeId="6146" r:id="rId3">
          <objectPr defaultSize="0" autoPict="0" r:id="rId4">
            <anchor moveWithCells="1" sizeWithCells="1">
              <from>
                <xdr:col>0</xdr:col>
                <xdr:colOff>16625</xdr:colOff>
                <xdr:row>26</xdr:row>
                <xdr:rowOff>91440</xdr:rowOff>
              </from>
              <to>
                <xdr:col>11</xdr:col>
                <xdr:colOff>116378</xdr:colOff>
                <xdr:row>60</xdr:row>
                <xdr:rowOff>16625</xdr:rowOff>
              </to>
            </anchor>
          </objectPr>
        </oleObject>
      </mc:Choice>
      <mc:Fallback>
        <oleObject progId="Excel.Sheet.12" shapeId="6146" r:id="rId3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topLeftCell="A13" workbookViewId="0">
      <selection activeCell="B25" sqref="B25"/>
    </sheetView>
  </sheetViews>
  <sheetFormatPr baseColWidth="10" defaultRowHeight="12.45" x14ac:dyDescent="0.2"/>
  <cols>
    <col min="1" max="1" width="43.5" style="20" customWidth="1"/>
    <col min="2" max="2" width="14" style="20" customWidth="1"/>
    <col min="3" max="16384" width="11" style="20"/>
  </cols>
  <sheetData>
    <row r="1" spans="1:2" ht="17.7" x14ac:dyDescent="0.3">
      <c r="A1" s="19" t="s">
        <v>88</v>
      </c>
    </row>
    <row r="3" spans="1:2" ht="17.7" x14ac:dyDescent="0.3">
      <c r="A3" s="21" t="s">
        <v>162</v>
      </c>
      <c r="B3" s="21" t="s">
        <v>163</v>
      </c>
    </row>
    <row r="5" spans="1:2" ht="14.4" x14ac:dyDescent="0.25">
      <c r="A5" s="76" t="s">
        <v>125</v>
      </c>
      <c r="B5" s="77" t="s">
        <v>126</v>
      </c>
    </row>
    <row r="6" spans="1:2" x14ac:dyDescent="0.2">
      <c r="A6" s="65" t="s">
        <v>127</v>
      </c>
      <c r="B6" s="86" t="s">
        <v>128</v>
      </c>
    </row>
    <row r="7" spans="1:2" x14ac:dyDescent="0.2">
      <c r="A7" s="27" t="s">
        <v>129</v>
      </c>
      <c r="B7" s="86" t="s">
        <v>128</v>
      </c>
    </row>
    <row r="8" spans="1:2" x14ac:dyDescent="0.2">
      <c r="A8" s="27" t="s">
        <v>130</v>
      </c>
      <c r="B8" s="13">
        <v>828</v>
      </c>
    </row>
    <row r="9" spans="1:2" x14ac:dyDescent="0.2">
      <c r="A9" s="36" t="s">
        <v>131</v>
      </c>
      <c r="B9" s="13">
        <v>828</v>
      </c>
    </row>
    <row r="10" spans="1:2" x14ac:dyDescent="0.2">
      <c r="A10" s="50"/>
      <c r="B10" s="78"/>
    </row>
    <row r="11" spans="1:2" x14ac:dyDescent="0.2">
      <c r="A11" s="65" t="s">
        <v>132</v>
      </c>
      <c r="B11" s="13">
        <v>163</v>
      </c>
    </row>
    <row r="12" spans="1:2" x14ac:dyDescent="0.2">
      <c r="A12" s="27" t="s">
        <v>133</v>
      </c>
      <c r="B12" s="4">
        <v>5.4</v>
      </c>
    </row>
    <row r="13" spans="1:2" ht="13.1" x14ac:dyDescent="0.25">
      <c r="A13" s="79" t="s">
        <v>134</v>
      </c>
      <c r="B13" s="70">
        <f>B12*B11</f>
        <v>880.2</v>
      </c>
    </row>
    <row r="14" spans="1:2" x14ac:dyDescent="0.2">
      <c r="A14" s="29" t="s">
        <v>135</v>
      </c>
      <c r="B14" s="13">
        <v>2</v>
      </c>
    </row>
    <row r="15" spans="1:2" ht="13.1" x14ac:dyDescent="0.25">
      <c r="A15" s="79" t="s">
        <v>136</v>
      </c>
      <c r="B15" s="70">
        <f>B14*B13</f>
        <v>1760.4</v>
      </c>
    </row>
    <row r="16" spans="1:2" x14ac:dyDescent="0.2">
      <c r="A16" s="50"/>
      <c r="B16" s="78"/>
    </row>
    <row r="17" spans="1:2" x14ac:dyDescent="0.2">
      <c r="A17" s="29" t="s">
        <v>137</v>
      </c>
      <c r="B17" s="13">
        <v>0.15</v>
      </c>
    </row>
    <row r="18" spans="1:2" ht="13.1" x14ac:dyDescent="0.25">
      <c r="A18" s="79" t="s">
        <v>138</v>
      </c>
      <c r="B18" s="70">
        <f>B15*B17</f>
        <v>264.06</v>
      </c>
    </row>
    <row r="19" spans="1:2" x14ac:dyDescent="0.2">
      <c r="A19" s="29" t="s">
        <v>139</v>
      </c>
      <c r="B19" s="13">
        <v>75</v>
      </c>
    </row>
    <row r="20" spans="1:2" ht="13.1" x14ac:dyDescent="0.25">
      <c r="A20" s="79" t="s">
        <v>165</v>
      </c>
      <c r="B20" s="70">
        <f>B18*B19*0.01</f>
        <v>198.04500000000002</v>
      </c>
    </row>
    <row r="21" spans="1:2" x14ac:dyDescent="0.2">
      <c r="B21" s="80"/>
    </row>
    <row r="22" spans="1:2" ht="14.4" x14ac:dyDescent="0.25">
      <c r="A22" s="81" t="s">
        <v>166</v>
      </c>
      <c r="B22" s="80"/>
    </row>
    <row r="23" spans="1:2" ht="14.4" x14ac:dyDescent="0.25">
      <c r="A23" s="82" t="s">
        <v>164</v>
      </c>
      <c r="B23" s="13">
        <v>1</v>
      </c>
    </row>
    <row r="24" spans="1:2" ht="13.1" x14ac:dyDescent="0.25">
      <c r="A24" s="79" t="s">
        <v>167</v>
      </c>
      <c r="B24" s="70">
        <f>B20/B23*0.1</f>
        <v>19.804500000000004</v>
      </c>
    </row>
    <row r="25" spans="1:2" x14ac:dyDescent="0.2">
      <c r="A25" s="29" t="s">
        <v>140</v>
      </c>
      <c r="B25" s="11">
        <v>4.5199999999999996</v>
      </c>
    </row>
    <row r="26" spans="1:2" x14ac:dyDescent="0.2">
      <c r="A26" s="29" t="s">
        <v>141</v>
      </c>
      <c r="B26" s="11">
        <v>2.1</v>
      </c>
    </row>
    <row r="27" spans="1:2" x14ac:dyDescent="0.2">
      <c r="A27" s="29" t="s">
        <v>142</v>
      </c>
      <c r="B27" s="83">
        <f>B25-B26</f>
        <v>2.4199999999999995</v>
      </c>
    </row>
    <row r="28" spans="1:2" x14ac:dyDescent="0.2">
      <c r="A28" s="29" t="s">
        <v>143</v>
      </c>
      <c r="B28" s="83">
        <f>B27*0.107</f>
        <v>0.25893999999999995</v>
      </c>
    </row>
    <row r="29" spans="1:2" ht="13.1" x14ac:dyDescent="0.25">
      <c r="A29" s="79" t="s">
        <v>144</v>
      </c>
      <c r="B29" s="42">
        <f>B28+B27</f>
        <v>2.6789399999999994</v>
      </c>
    </row>
    <row r="30" spans="1:2" ht="13.1" x14ac:dyDescent="0.25">
      <c r="A30" s="79" t="s">
        <v>145</v>
      </c>
      <c r="B30" s="42">
        <f>B29*B24</f>
        <v>53.055067229999999</v>
      </c>
    </row>
    <row r="31" spans="1:2" x14ac:dyDescent="0.2">
      <c r="B31" s="80"/>
    </row>
    <row r="32" spans="1:2" ht="14.4" x14ac:dyDescent="0.25">
      <c r="A32" s="81" t="s">
        <v>168</v>
      </c>
      <c r="B32" s="80"/>
    </row>
    <row r="33" spans="1:2" ht="14.4" x14ac:dyDescent="0.25">
      <c r="A33" s="82" t="s">
        <v>169</v>
      </c>
      <c r="B33" s="84">
        <f>B20*0.9</f>
        <v>178.24050000000003</v>
      </c>
    </row>
    <row r="34" spans="1:2" x14ac:dyDescent="0.2">
      <c r="A34" s="29" t="s">
        <v>170</v>
      </c>
      <c r="B34" s="11">
        <v>9.41</v>
      </c>
    </row>
    <row r="35" spans="1:2" x14ac:dyDescent="0.2">
      <c r="A35" s="29" t="s">
        <v>171</v>
      </c>
      <c r="B35" s="11">
        <v>3</v>
      </c>
    </row>
    <row r="36" spans="1:2" x14ac:dyDescent="0.2">
      <c r="A36" s="29" t="s">
        <v>146</v>
      </c>
      <c r="B36" s="83">
        <f>B34-B35</f>
        <v>6.41</v>
      </c>
    </row>
    <row r="37" spans="1:2" x14ac:dyDescent="0.2">
      <c r="A37" s="29" t="s">
        <v>172</v>
      </c>
      <c r="B37" s="83">
        <f>B36*0.107</f>
        <v>0.68586999999999998</v>
      </c>
    </row>
    <row r="38" spans="1:2" ht="13.1" x14ac:dyDescent="0.25">
      <c r="A38" s="79" t="s">
        <v>144</v>
      </c>
      <c r="B38" s="42">
        <f>B37+B36</f>
        <v>7.0958699999999997</v>
      </c>
    </row>
    <row r="39" spans="1:2" ht="13.1" x14ac:dyDescent="0.25">
      <c r="A39" s="79" t="s">
        <v>145</v>
      </c>
      <c r="B39" s="42">
        <f>B38*B33</f>
        <v>1264.7714167350002</v>
      </c>
    </row>
    <row r="40" spans="1:2" x14ac:dyDescent="0.2">
      <c r="B40" s="85"/>
    </row>
    <row r="41" spans="1:2" ht="14.4" x14ac:dyDescent="0.25">
      <c r="A41" s="76" t="s">
        <v>147</v>
      </c>
      <c r="B41" s="42">
        <f>B39+B30</f>
        <v>1317.8264839650003</v>
      </c>
    </row>
    <row r="44" spans="1:2" x14ac:dyDescent="0.2">
      <c r="A44" s="48"/>
      <c r="B44" s="20" t="s">
        <v>29</v>
      </c>
    </row>
    <row r="45" spans="1:2" x14ac:dyDescent="0.2">
      <c r="A45" s="49"/>
      <c r="B45" s="20" t="s">
        <v>31</v>
      </c>
    </row>
  </sheetData>
  <sheetProtection algorithmName="SHA-512" hashValue="tg7z+ejGYC6PKnGGXkdhhg9fW7Zd5wSOixwC2LRbpGpLObn1cmu0ltKNNoqeNpsta+jzBMYboHKzVxJOqErX+Q==" saltValue="pMNOfoS2/LBHan0sSHrc+Q==" spinCount="100000" sheet="1" objects="1" scenarios="1" selectLockedCells="1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4" workbookViewId="0">
      <selection activeCell="C30" sqref="C30"/>
    </sheetView>
  </sheetViews>
  <sheetFormatPr baseColWidth="10" defaultRowHeight="12.45" x14ac:dyDescent="0.2"/>
  <cols>
    <col min="1" max="1" width="22.125" style="20" customWidth="1"/>
    <col min="2" max="2" width="39.875" style="20" customWidth="1"/>
    <col min="3" max="16384" width="11" style="20"/>
  </cols>
  <sheetData>
    <row r="1" spans="1:3" ht="17.7" x14ac:dyDescent="0.3">
      <c r="A1" s="19" t="s">
        <v>88</v>
      </c>
    </row>
    <row r="3" spans="1:3" ht="17.7" x14ac:dyDescent="0.3">
      <c r="A3" s="21" t="s">
        <v>162</v>
      </c>
      <c r="B3" s="21" t="s">
        <v>0</v>
      </c>
    </row>
    <row r="5" spans="1:3" ht="17.7" x14ac:dyDescent="0.3">
      <c r="A5" s="21" t="s">
        <v>1</v>
      </c>
    </row>
    <row r="6" spans="1:3" s="62" customFormat="1" x14ac:dyDescent="0.2"/>
    <row r="7" spans="1:3" s="62" customFormat="1" ht="13.1" x14ac:dyDescent="0.25">
      <c r="A7" s="63" t="s">
        <v>30</v>
      </c>
    </row>
    <row r="8" spans="1:3" x14ac:dyDescent="0.2">
      <c r="A8" s="55" t="s">
        <v>23</v>
      </c>
      <c r="B8" s="44" t="s">
        <v>24</v>
      </c>
      <c r="C8" s="12">
        <v>2</v>
      </c>
    </row>
    <row r="9" spans="1:3" x14ac:dyDescent="0.2">
      <c r="C9" s="64"/>
    </row>
    <row r="10" spans="1:3" ht="13.1" x14ac:dyDescent="0.25">
      <c r="A10" s="63" t="s">
        <v>8</v>
      </c>
    </row>
    <row r="11" spans="1:3" ht="24.9" x14ac:dyDescent="0.2">
      <c r="A11" s="65" t="s">
        <v>2</v>
      </c>
      <c r="B11" s="66" t="s">
        <v>3</v>
      </c>
      <c r="C11" s="23"/>
    </row>
    <row r="12" spans="1:3" x14ac:dyDescent="0.2">
      <c r="A12" s="36"/>
      <c r="B12" s="29" t="s">
        <v>9</v>
      </c>
      <c r="C12" s="13">
        <v>1</v>
      </c>
    </row>
    <row r="13" spans="1:3" x14ac:dyDescent="0.2">
      <c r="A13" s="27"/>
      <c r="B13" s="50"/>
      <c r="C13" s="51"/>
    </row>
    <row r="14" spans="1:3" x14ac:dyDescent="0.2">
      <c r="A14" s="65" t="s">
        <v>4</v>
      </c>
      <c r="B14" s="29" t="s">
        <v>5</v>
      </c>
      <c r="C14" s="23"/>
    </row>
    <row r="15" spans="1:3" x14ac:dyDescent="0.2">
      <c r="A15" s="27"/>
      <c r="B15" s="65" t="s">
        <v>6</v>
      </c>
      <c r="C15" s="4">
        <v>1</v>
      </c>
    </row>
    <row r="16" spans="1:3" x14ac:dyDescent="0.2">
      <c r="A16" s="27"/>
      <c r="B16" s="27" t="s">
        <v>7</v>
      </c>
      <c r="C16" s="5">
        <v>20</v>
      </c>
    </row>
    <row r="17" spans="1:3" x14ac:dyDescent="0.2">
      <c r="A17" s="27"/>
      <c r="B17" s="27" t="s">
        <v>9</v>
      </c>
      <c r="C17" s="67">
        <f>C15/C16*2</f>
        <v>0.1</v>
      </c>
    </row>
    <row r="18" spans="1:3" x14ac:dyDescent="0.2">
      <c r="A18" s="36"/>
      <c r="B18" s="36" t="s">
        <v>12</v>
      </c>
      <c r="C18" s="68">
        <f>C17*60</f>
        <v>6</v>
      </c>
    </row>
    <row r="19" spans="1:3" x14ac:dyDescent="0.2">
      <c r="A19" s="27"/>
      <c r="B19" s="50"/>
      <c r="C19" s="51"/>
    </row>
    <row r="20" spans="1:3" x14ac:dyDescent="0.2">
      <c r="A20" s="65" t="s">
        <v>10</v>
      </c>
      <c r="B20" s="29" t="s">
        <v>11</v>
      </c>
      <c r="C20" s="23"/>
    </row>
    <row r="21" spans="1:3" x14ac:dyDescent="0.2">
      <c r="A21" s="27"/>
      <c r="B21" s="65" t="s">
        <v>13</v>
      </c>
      <c r="C21" s="6">
        <v>200</v>
      </c>
    </row>
    <row r="22" spans="1:3" x14ac:dyDescent="0.2">
      <c r="A22" s="27"/>
      <c r="B22" s="27" t="s">
        <v>7</v>
      </c>
      <c r="C22" s="7">
        <v>2.5</v>
      </c>
    </row>
    <row r="23" spans="1:3" x14ac:dyDescent="0.2">
      <c r="A23" s="27"/>
      <c r="B23" s="27" t="s">
        <v>14</v>
      </c>
      <c r="C23" s="8">
        <v>4</v>
      </c>
    </row>
    <row r="24" spans="1:3" x14ac:dyDescent="0.2">
      <c r="A24" s="27"/>
      <c r="B24" s="27" t="s">
        <v>9</v>
      </c>
      <c r="C24" s="67">
        <f>(C21/1000)/C22+(C23*0.5/60)</f>
        <v>0.11333333333333334</v>
      </c>
    </row>
    <row r="25" spans="1:3" x14ac:dyDescent="0.2">
      <c r="A25" s="36"/>
      <c r="B25" s="36" t="s">
        <v>12</v>
      </c>
      <c r="C25" s="68">
        <f>C24*60</f>
        <v>6.8000000000000007</v>
      </c>
    </row>
    <row r="26" spans="1:3" x14ac:dyDescent="0.2">
      <c r="A26" s="27"/>
      <c r="B26" s="50"/>
      <c r="C26" s="51"/>
    </row>
    <row r="27" spans="1:3" ht="13.1" x14ac:dyDescent="0.25">
      <c r="A27" s="43" t="s">
        <v>15</v>
      </c>
      <c r="B27" s="69" t="s">
        <v>17</v>
      </c>
      <c r="C27" s="70">
        <f>C12+C17+C24</f>
        <v>1.2133333333333334</v>
      </c>
    </row>
    <row r="29" spans="1:3" ht="13.1" x14ac:dyDescent="0.25">
      <c r="A29" s="63" t="s">
        <v>18</v>
      </c>
    </row>
    <row r="30" spans="1:3" x14ac:dyDescent="0.2">
      <c r="A30" s="65" t="s">
        <v>19</v>
      </c>
      <c r="B30" s="71" t="s">
        <v>20</v>
      </c>
      <c r="C30" s="9">
        <v>9.5399999999999991</v>
      </c>
    </row>
    <row r="31" spans="1:3" x14ac:dyDescent="0.2">
      <c r="A31" s="27"/>
      <c r="B31" s="50" t="s">
        <v>21</v>
      </c>
      <c r="C31" s="10">
        <v>7</v>
      </c>
    </row>
    <row r="32" spans="1:3" x14ac:dyDescent="0.2">
      <c r="A32" s="27"/>
      <c r="B32" s="50" t="s">
        <v>22</v>
      </c>
      <c r="C32" s="10">
        <v>2.5</v>
      </c>
    </row>
    <row r="33" spans="1:3" x14ac:dyDescent="0.2">
      <c r="A33" s="36"/>
      <c r="B33" s="72" t="s">
        <v>16</v>
      </c>
      <c r="C33" s="73">
        <f>(C30*C27)+(C21*C8/10000)*(C31+C32)</f>
        <v>11.9552</v>
      </c>
    </row>
    <row r="35" spans="1:3" x14ac:dyDescent="0.2">
      <c r="A35" s="55" t="s">
        <v>27</v>
      </c>
      <c r="B35" s="44" t="s">
        <v>28</v>
      </c>
      <c r="C35" s="11">
        <v>150</v>
      </c>
    </row>
    <row r="37" spans="1:3" x14ac:dyDescent="0.2">
      <c r="A37" s="55" t="s">
        <v>25</v>
      </c>
      <c r="B37" s="44" t="s">
        <v>26</v>
      </c>
      <c r="C37" s="11">
        <v>20</v>
      </c>
    </row>
    <row r="39" spans="1:3" ht="13.1" x14ac:dyDescent="0.25">
      <c r="A39" s="43" t="s">
        <v>55</v>
      </c>
      <c r="B39" s="74"/>
      <c r="C39" s="75">
        <f>C33+(C35*C21*C8/10000)+C37*C27</f>
        <v>42.221866666666664</v>
      </c>
    </row>
    <row r="42" spans="1:3" x14ac:dyDescent="0.2">
      <c r="A42" s="48"/>
      <c r="B42" s="20" t="s">
        <v>29</v>
      </c>
    </row>
    <row r="43" spans="1:3" x14ac:dyDescent="0.2">
      <c r="A43" s="49"/>
      <c r="B43" s="20" t="s">
        <v>31</v>
      </c>
    </row>
  </sheetData>
  <sheetProtection algorithmName="SHA-512" hashValue="/PdUaazg7kqKltNe4Hzh73X4Hffgc5QQ1zqTWa1bVfqnIvq3PJU48MbOuC6p0uPGsR37CdJ/o1yGJo3SL9WlHQ==" saltValue="yTczTeeqxsvX8EYaKERUqg==" spinCount="100000" sheet="1" objects="1" scenarios="1" selectLockedCells="1"/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workbookViewId="0">
      <selection activeCell="C28" sqref="C28"/>
    </sheetView>
  </sheetViews>
  <sheetFormatPr baseColWidth="10" defaultRowHeight="12.45" x14ac:dyDescent="0.2"/>
  <cols>
    <col min="1" max="1" width="23.625" style="20" customWidth="1"/>
    <col min="2" max="2" width="34" style="20" customWidth="1"/>
    <col min="3" max="16384" width="11" style="20"/>
  </cols>
  <sheetData>
    <row r="1" spans="1:3" ht="17.7" x14ac:dyDescent="0.3">
      <c r="A1" s="19" t="s">
        <v>88</v>
      </c>
    </row>
    <row r="3" spans="1:3" ht="17.7" x14ac:dyDescent="0.3">
      <c r="A3" s="21" t="s">
        <v>162</v>
      </c>
      <c r="B3" s="21" t="s">
        <v>32</v>
      </c>
    </row>
    <row r="4" spans="1:3" x14ac:dyDescent="0.2">
      <c r="B4" s="20" t="s">
        <v>33</v>
      </c>
    </row>
    <row r="5" spans="1:3" x14ac:dyDescent="0.2">
      <c r="B5" s="20" t="s">
        <v>34</v>
      </c>
    </row>
    <row r="7" spans="1:3" ht="13.1" x14ac:dyDescent="0.25">
      <c r="A7" s="25" t="s">
        <v>35</v>
      </c>
      <c r="B7" s="26" t="s">
        <v>38</v>
      </c>
      <c r="C7" s="16"/>
    </row>
    <row r="8" spans="1:3" x14ac:dyDescent="0.2">
      <c r="A8" s="27"/>
      <c r="B8" s="28" t="s">
        <v>39</v>
      </c>
      <c r="C8" s="17">
        <v>7000</v>
      </c>
    </row>
    <row r="9" spans="1:3" x14ac:dyDescent="0.2">
      <c r="A9" s="27"/>
      <c r="B9" s="29" t="s">
        <v>40</v>
      </c>
      <c r="C9" s="59">
        <v>10</v>
      </c>
    </row>
    <row r="10" spans="1:3" x14ac:dyDescent="0.2">
      <c r="A10" s="27"/>
      <c r="B10" s="29" t="s">
        <v>41</v>
      </c>
      <c r="C10" s="59">
        <f>C7*C9/100</f>
        <v>0</v>
      </c>
    </row>
    <row r="11" spans="1:3" x14ac:dyDescent="0.2">
      <c r="A11" s="27"/>
      <c r="B11" s="28" t="s">
        <v>39</v>
      </c>
      <c r="C11" s="60">
        <f>C8*C9/100</f>
        <v>700</v>
      </c>
    </row>
    <row r="12" spans="1:3" x14ac:dyDescent="0.2">
      <c r="A12" s="27"/>
      <c r="B12" s="29" t="s">
        <v>37</v>
      </c>
      <c r="C12" s="11"/>
    </row>
    <row r="13" spans="1:3" x14ac:dyDescent="0.2">
      <c r="A13" s="27"/>
      <c r="B13" s="28" t="s">
        <v>36</v>
      </c>
      <c r="C13" s="11">
        <v>3.5</v>
      </c>
    </row>
    <row r="14" spans="1:3" x14ac:dyDescent="0.2">
      <c r="A14" s="27"/>
      <c r="B14" s="50"/>
      <c r="C14" s="51"/>
    </row>
    <row r="15" spans="1:3" ht="13.1" x14ac:dyDescent="0.25">
      <c r="A15" s="36"/>
      <c r="B15" s="37" t="s">
        <v>42</v>
      </c>
      <c r="C15" s="38">
        <f>IF(C8="",C10*C12,C11*C13)</f>
        <v>2450</v>
      </c>
    </row>
    <row r="18" spans="1:4" ht="13.1" x14ac:dyDescent="0.25">
      <c r="A18" s="25" t="s">
        <v>46</v>
      </c>
      <c r="B18" s="29" t="s">
        <v>61</v>
      </c>
      <c r="C18" s="16">
        <v>20</v>
      </c>
    </row>
    <row r="19" spans="1:4" x14ac:dyDescent="0.2">
      <c r="A19" s="27" t="s">
        <v>49</v>
      </c>
      <c r="B19" s="29" t="s">
        <v>45</v>
      </c>
      <c r="C19" s="11">
        <v>12</v>
      </c>
      <c r="D19" s="20" t="s">
        <v>54</v>
      </c>
    </row>
    <row r="20" spans="1:4" x14ac:dyDescent="0.2">
      <c r="A20" s="27" t="s">
        <v>50</v>
      </c>
      <c r="B20" s="50"/>
      <c r="C20" s="51"/>
    </row>
    <row r="21" spans="1:4" ht="13.1" x14ac:dyDescent="0.25">
      <c r="A21" s="36" t="s">
        <v>51</v>
      </c>
      <c r="B21" s="37" t="s">
        <v>42</v>
      </c>
      <c r="C21" s="45">
        <f>C18*C19</f>
        <v>240</v>
      </c>
    </row>
    <row r="22" spans="1:4" ht="13.1" x14ac:dyDescent="0.25">
      <c r="A22" s="50"/>
      <c r="B22" s="52"/>
      <c r="C22" s="53"/>
    </row>
    <row r="24" spans="1:4" ht="13.1" x14ac:dyDescent="0.25">
      <c r="A24" s="25" t="s">
        <v>43</v>
      </c>
      <c r="B24" s="29" t="s">
        <v>52</v>
      </c>
      <c r="C24" s="16">
        <v>100</v>
      </c>
    </row>
    <row r="25" spans="1:4" x14ac:dyDescent="0.2">
      <c r="A25" s="27" t="s">
        <v>47</v>
      </c>
      <c r="B25" s="39" t="s">
        <v>44</v>
      </c>
      <c r="C25" s="40">
        <f>IF(C8="",(C7*C9/100)/C24,(C8*C9/100)/0.78/C24)</f>
        <v>8.9743589743589745</v>
      </c>
    </row>
    <row r="26" spans="1:4" x14ac:dyDescent="0.2">
      <c r="A26" s="36" t="s">
        <v>48</v>
      </c>
      <c r="B26" s="29" t="s">
        <v>45</v>
      </c>
      <c r="C26" s="11">
        <v>12</v>
      </c>
      <c r="D26" s="20" t="s">
        <v>53</v>
      </c>
    </row>
    <row r="27" spans="1:4" x14ac:dyDescent="0.2">
      <c r="A27" s="50"/>
      <c r="B27" s="50"/>
      <c r="C27" s="54"/>
    </row>
    <row r="28" spans="1:4" ht="13.1" x14ac:dyDescent="0.25">
      <c r="A28" s="25" t="s">
        <v>89</v>
      </c>
      <c r="B28" s="55" t="s">
        <v>91</v>
      </c>
      <c r="C28" s="61">
        <v>1</v>
      </c>
    </row>
    <row r="29" spans="1:4" ht="13.1" x14ac:dyDescent="0.25">
      <c r="A29" s="56" t="s">
        <v>90</v>
      </c>
      <c r="B29" s="36"/>
      <c r="C29" s="57"/>
    </row>
    <row r="30" spans="1:4" x14ac:dyDescent="0.2">
      <c r="C30" s="51"/>
    </row>
    <row r="31" spans="1:4" ht="13.1" x14ac:dyDescent="0.25">
      <c r="A31" s="36"/>
      <c r="B31" s="37" t="s">
        <v>92</v>
      </c>
      <c r="C31" s="45">
        <f>(C25*C26)+(C28*C11)</f>
        <v>807.69230769230774</v>
      </c>
    </row>
    <row r="32" spans="1:4" ht="13.1" x14ac:dyDescent="0.25">
      <c r="A32" s="50"/>
      <c r="B32" s="52"/>
      <c r="C32" s="53"/>
    </row>
    <row r="34" spans="1:3" ht="13.1" x14ac:dyDescent="0.25">
      <c r="A34" s="43" t="s">
        <v>56</v>
      </c>
      <c r="B34" s="44"/>
      <c r="C34" s="45">
        <f>C15+C21-C31</f>
        <v>1882.3076923076924</v>
      </c>
    </row>
    <row r="35" spans="1:3" ht="13.1" x14ac:dyDescent="0.25">
      <c r="A35" s="58"/>
      <c r="B35" s="50"/>
      <c r="C35" s="53"/>
    </row>
    <row r="37" spans="1:3" x14ac:dyDescent="0.2">
      <c r="A37" s="48"/>
      <c r="B37" s="20" t="s">
        <v>29</v>
      </c>
    </row>
    <row r="38" spans="1:3" x14ac:dyDescent="0.2">
      <c r="A38" s="49"/>
      <c r="B38" s="20" t="s">
        <v>31</v>
      </c>
    </row>
    <row r="40" spans="1:3" x14ac:dyDescent="0.2">
      <c r="A40" s="20" t="s">
        <v>84</v>
      </c>
    </row>
  </sheetData>
  <sheetProtection algorithmName="SHA-512" hashValue="efmdUPEFzM6M37Dm2EavRGwxe6Wav4ihQs2cQSE+HDqJdM3O+N0eeRVjLmHeubomk1RTd/7b/Mv9fx/Bsolg9Q==" saltValue="4TRYFXEDI8JmAL/8X/QvRw==" spinCount="100000" sheet="1" objects="1" scenarios="1" selectLockedCells="1"/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workbookViewId="0">
      <selection activeCell="C24" sqref="C24"/>
    </sheetView>
  </sheetViews>
  <sheetFormatPr baseColWidth="10" defaultRowHeight="12.45" x14ac:dyDescent="0.2"/>
  <cols>
    <col min="1" max="1" width="20.625" style="20" customWidth="1"/>
    <col min="2" max="2" width="34" style="20" customWidth="1"/>
    <col min="3" max="16384" width="11" style="20"/>
  </cols>
  <sheetData>
    <row r="1" spans="1:4" ht="17.7" x14ac:dyDescent="0.3">
      <c r="A1" s="19" t="s">
        <v>88</v>
      </c>
    </row>
    <row r="3" spans="1:4" ht="17.7" x14ac:dyDescent="0.3">
      <c r="A3" s="21" t="s">
        <v>162</v>
      </c>
      <c r="B3" s="21" t="s">
        <v>62</v>
      </c>
    </row>
    <row r="4" spans="1:4" x14ac:dyDescent="0.2">
      <c r="B4" s="20" t="s">
        <v>57</v>
      </c>
    </row>
    <row r="6" spans="1:4" ht="13.1" x14ac:dyDescent="0.25">
      <c r="A6" s="22" t="s">
        <v>67</v>
      </c>
      <c r="B6" s="23" t="s">
        <v>68</v>
      </c>
      <c r="C6" s="12">
        <v>2</v>
      </c>
    </row>
    <row r="7" spans="1:4" x14ac:dyDescent="0.2">
      <c r="A7" s="24"/>
      <c r="B7" s="24" t="s">
        <v>69</v>
      </c>
      <c r="C7" s="12">
        <v>1.2</v>
      </c>
    </row>
    <row r="9" spans="1:4" ht="13.1" x14ac:dyDescent="0.25">
      <c r="A9" s="25" t="s">
        <v>35</v>
      </c>
      <c r="B9" s="26" t="s">
        <v>38</v>
      </c>
      <c r="C9" s="16"/>
      <c r="D9" s="20" t="s">
        <v>82</v>
      </c>
    </row>
    <row r="10" spans="1:4" x14ac:dyDescent="0.2">
      <c r="A10" s="27" t="s">
        <v>63</v>
      </c>
      <c r="B10" s="28" t="s">
        <v>71</v>
      </c>
      <c r="C10" s="17">
        <v>7000</v>
      </c>
      <c r="D10" s="20" t="s">
        <v>76</v>
      </c>
    </row>
    <row r="11" spans="1:4" x14ac:dyDescent="0.2">
      <c r="A11" s="27" t="s">
        <v>64</v>
      </c>
      <c r="B11" s="29" t="s">
        <v>37</v>
      </c>
      <c r="C11" s="11"/>
      <c r="D11" s="20" t="s">
        <v>77</v>
      </c>
    </row>
    <row r="12" spans="1:4" x14ac:dyDescent="0.2">
      <c r="A12" s="27"/>
      <c r="B12" s="28" t="s">
        <v>72</v>
      </c>
      <c r="C12" s="11">
        <v>3.5</v>
      </c>
      <c r="D12" s="20" t="s">
        <v>83</v>
      </c>
    </row>
    <row r="13" spans="1:4" x14ac:dyDescent="0.2">
      <c r="A13" s="27"/>
      <c r="B13" s="30" t="s">
        <v>70</v>
      </c>
      <c r="C13" s="18">
        <v>50</v>
      </c>
      <c r="D13" s="20" t="s">
        <v>78</v>
      </c>
    </row>
    <row r="14" spans="1:4" x14ac:dyDescent="0.2">
      <c r="A14" s="27"/>
      <c r="B14" s="29" t="s">
        <v>58</v>
      </c>
      <c r="C14" s="31">
        <f>C6*C7*C13</f>
        <v>120</v>
      </c>
      <c r="D14" s="20" t="s">
        <v>79</v>
      </c>
    </row>
    <row r="15" spans="1:4" x14ac:dyDescent="0.2">
      <c r="A15" s="27"/>
      <c r="B15" s="29" t="s">
        <v>59</v>
      </c>
      <c r="C15" s="32">
        <f>C9*C14/10000</f>
        <v>0</v>
      </c>
      <c r="D15" s="20" t="s">
        <v>80</v>
      </c>
    </row>
    <row r="16" spans="1:4" x14ac:dyDescent="0.2">
      <c r="A16" s="27"/>
      <c r="B16" s="33" t="s">
        <v>60</v>
      </c>
      <c r="C16" s="32">
        <f>C10*C14/10000</f>
        <v>84</v>
      </c>
      <c r="D16" s="20" t="s">
        <v>81</v>
      </c>
    </row>
    <row r="17" spans="1:4" x14ac:dyDescent="0.2">
      <c r="A17" s="27"/>
      <c r="B17" s="34"/>
      <c r="C17" s="35"/>
    </row>
    <row r="18" spans="1:4" ht="13.1" x14ac:dyDescent="0.25">
      <c r="A18" s="36"/>
      <c r="B18" s="37" t="s">
        <v>42</v>
      </c>
      <c r="C18" s="38">
        <f>IF(C10="",C9*C11*(C14/10000),C10*C12*(C14/10000))</f>
        <v>294</v>
      </c>
    </row>
    <row r="20" spans="1:4" ht="13.1" x14ac:dyDescent="0.25">
      <c r="A20" s="25" t="s">
        <v>94</v>
      </c>
      <c r="B20" s="29" t="s">
        <v>74</v>
      </c>
      <c r="C20" s="16">
        <v>1.5</v>
      </c>
      <c r="D20" s="20" t="s">
        <v>86</v>
      </c>
    </row>
    <row r="21" spans="1:4" x14ac:dyDescent="0.2">
      <c r="A21" s="20" t="s">
        <v>93</v>
      </c>
      <c r="B21" s="39" t="s">
        <v>85</v>
      </c>
      <c r="C21" s="40">
        <f>C20*C13/60</f>
        <v>1.25</v>
      </c>
      <c r="D21" s="20" t="s">
        <v>87</v>
      </c>
    </row>
    <row r="22" spans="1:4" x14ac:dyDescent="0.2">
      <c r="A22" s="27" t="s">
        <v>65</v>
      </c>
      <c r="B22" s="29" t="s">
        <v>45</v>
      </c>
      <c r="C22" s="11">
        <v>12</v>
      </c>
    </row>
    <row r="23" spans="1:4" x14ac:dyDescent="0.2">
      <c r="A23" s="27" t="s">
        <v>66</v>
      </c>
      <c r="B23" s="33" t="s">
        <v>75</v>
      </c>
      <c r="C23" s="11">
        <v>5</v>
      </c>
    </row>
    <row r="24" spans="1:4" x14ac:dyDescent="0.2">
      <c r="A24" s="27"/>
      <c r="B24" s="41"/>
      <c r="C24" s="11"/>
    </row>
    <row r="25" spans="1:4" ht="13.1" x14ac:dyDescent="0.25">
      <c r="A25" s="36"/>
      <c r="B25" s="37" t="s">
        <v>42</v>
      </c>
      <c r="C25" s="42">
        <f>C21*C22+C23</f>
        <v>20</v>
      </c>
    </row>
    <row r="27" spans="1:4" s="46" customFormat="1" ht="13.1" x14ac:dyDescent="0.25">
      <c r="A27" s="43" t="s">
        <v>73</v>
      </c>
      <c r="B27" s="44"/>
      <c r="C27" s="45">
        <f>C18+C25</f>
        <v>314</v>
      </c>
    </row>
    <row r="28" spans="1:4" s="46" customFormat="1" x14ac:dyDescent="0.2">
      <c r="C28" s="47"/>
    </row>
    <row r="30" spans="1:4" x14ac:dyDescent="0.2">
      <c r="A30" s="48"/>
      <c r="B30" s="20" t="s">
        <v>29</v>
      </c>
    </row>
    <row r="31" spans="1:4" x14ac:dyDescent="0.2">
      <c r="A31" s="49"/>
      <c r="B31" s="20" t="s">
        <v>31</v>
      </c>
    </row>
    <row r="33" spans="1:1" x14ac:dyDescent="0.2">
      <c r="A33" s="20" t="s">
        <v>84</v>
      </c>
    </row>
  </sheetData>
  <sheetProtection algorithmName="SHA-512" hashValue="yMnd0Qe+aWdm8lX3AZl0cygEEMKfBbooh4/8uTOp6fFXer5/Cxj2nL206mTiqesdj+azBPAuv6mhloSOCLueJA==" saltValue="jzSz8MzcpbgzMbl6XgRg+A==" spinCount="100000" sheet="1" objects="1" scenarios="1" selectLockedCell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Vorwort</vt:lpstr>
      <vt:lpstr>Checkliste Schadensermittlung</vt:lpstr>
      <vt:lpstr>Traubengewichte</vt:lpstr>
      <vt:lpstr>Knospenfraß</vt:lpstr>
      <vt:lpstr>Wühlschaden</vt:lpstr>
      <vt:lpstr>Ertragsausfall</vt:lpstr>
      <vt:lpstr>Neuanlage</vt:lpstr>
    </vt:vector>
  </TitlesOfParts>
  <Company>LGL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Michelfelder, Uwe (LVWO-WE)</dc:creator>
  <cp:lastModifiedBy>Michelfelder, Uwe (LVWO-WE)</cp:lastModifiedBy>
  <dcterms:created xsi:type="dcterms:W3CDTF">2021-09-14T06:13:43Z</dcterms:created>
  <dcterms:modified xsi:type="dcterms:W3CDTF">2021-10-01T08:43:11Z</dcterms:modified>
</cp:coreProperties>
</file>