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H:\Kalkulation\Kalkulationsprogramme\Kalkulation aufgeteilt\fertig für Veröffentlichung\Weiterentwicklung\Veröffentlicht 1-2024\"/>
    </mc:Choice>
  </mc:AlternateContent>
  <bookViews>
    <workbookView xWindow="0" yWindow="0" windowWidth="25140" windowHeight="10380" tabRatio="882"/>
  </bookViews>
  <sheets>
    <sheet name="1. Bedienungsanleitung" sheetId="23" r:id="rId1"/>
    <sheet name="2. Produkte Verschluss" sheetId="12" r:id="rId2"/>
    <sheet name="3. Verkostungen" sheetId="24" r:id="rId3"/>
    <sheet name="4. Inventar" sheetId="2" r:id="rId4"/>
    <sheet name="5. sonst. Gemeink." sheetId="3" r:id="rId5"/>
    <sheet name="6. Fremdkapital" sheetId="20" r:id="rId6"/>
    <sheet name="7. Gewerbe- Körperschaftsteuer " sheetId="13" r:id="rId7"/>
    <sheet name="8. Gewinn-Rentabilität" sheetId="4" r:id="rId8"/>
    <sheet name="Anmerkungen zu den Steuern" sheetId="22" r:id="rId9"/>
  </sheets>
  <externalReferences>
    <externalReference r:id="rId10"/>
    <externalReference r:id="rId11"/>
    <externalReference r:id="rId12"/>
  </externalReferences>
  <definedNames>
    <definedName name="Abtriebe_Tag" localSheetId="2">'[1]Daten Drop Down'!$A$23:$A$24</definedName>
    <definedName name="Abtriebe_Tag">'[2]Daten Drop Down'!$A$23:$A$24</definedName>
    <definedName name="_xlnm.Print_Area" localSheetId="0">'1. Bedienungsanleitung'!$A$13:$G$99</definedName>
    <definedName name="Flaschengöße" localSheetId="2">'[1]Daten Drop Down'!$C$24:$C$29</definedName>
    <definedName name="Flaschengöße">'[2]Daten Drop Down'!$C$24:$C$29</definedName>
    <definedName name="Kalenderjahr">[3]Einstellungen!$C$2</definedName>
    <definedName name="Kontingent" localSheetId="2">'[1]Daten Drop Down'!$A$2:$A$4</definedName>
    <definedName name="Kontingent">'[2]Daten Drop Down'!$A$2:$A$4</definedName>
    <definedName name="selbstvermarktungsfähig" localSheetId="2">'[1]Daten Drop Down'!#REF!</definedName>
    <definedName name="selbstvermarktungsfähig">'[2]Daten Drop Down'!#REF!</definedName>
    <definedName name="Tabelle_Feiertage" localSheetId="2">#REF!</definedName>
    <definedName name="Tabelle_Feiertage">#REF!</definedName>
  </definedNames>
  <calcPr calcId="162913"/>
</workbook>
</file>

<file path=xl/calcChain.xml><?xml version="1.0" encoding="utf-8"?>
<calcChain xmlns="http://schemas.openxmlformats.org/spreadsheetml/2006/main">
  <c r="C76" i="4" l="1"/>
  <c r="E21" i="2"/>
  <c r="H17" i="24" l="1"/>
  <c r="H22" i="24" s="1"/>
  <c r="D18" i="24" l="1"/>
  <c r="D23" i="24" s="1"/>
  <c r="L168" i="12" s="1"/>
  <c r="L177" i="12" s="1"/>
  <c r="D16" i="24" l="1"/>
  <c r="D19" i="24" s="1"/>
  <c r="D20" i="24" s="1"/>
  <c r="D21" i="24"/>
  <c r="D24" i="24" s="1"/>
  <c r="L170" i="12" s="1"/>
  <c r="L179" i="12" s="1"/>
  <c r="D22" i="24" l="1"/>
  <c r="D25" i="24" s="1"/>
  <c r="L169" i="12" s="1"/>
  <c r="L178" i="12" s="1"/>
  <c r="F159" i="12"/>
  <c r="F157" i="12"/>
  <c r="F156" i="12"/>
  <c r="F155" i="12"/>
  <c r="F152" i="12"/>
  <c r="F151" i="12"/>
  <c r="F150" i="12"/>
  <c r="F149" i="12"/>
  <c r="L167" i="12" l="1"/>
  <c r="L176" i="12" s="1"/>
  <c r="D26" i="24"/>
  <c r="L171" i="12" s="1"/>
  <c r="B76" i="4"/>
  <c r="G38" i="12" l="1"/>
  <c r="H40" i="12"/>
  <c r="G5" i="20" l="1"/>
  <c r="J381" i="20" l="1"/>
  <c r="E12" i="20"/>
  <c r="E13" i="20"/>
  <c r="B21" i="20" s="1"/>
  <c r="F21" i="20" s="1"/>
  <c r="C21" i="20" l="1"/>
  <c r="E21" i="20"/>
  <c r="G21" i="20" s="1"/>
  <c r="D21" i="20"/>
  <c r="I21" i="20" s="1"/>
  <c r="H21" i="20" l="1"/>
  <c r="J21" i="20" s="1"/>
  <c r="B22" i="20" s="1"/>
  <c r="F22" i="20" s="1"/>
  <c r="B29" i="3"/>
  <c r="B16" i="3"/>
  <c r="B8" i="3"/>
  <c r="B36" i="4" l="1"/>
  <c r="C36" i="4"/>
  <c r="C18" i="4"/>
  <c r="B18" i="4"/>
  <c r="C33" i="4"/>
  <c r="B33" i="4"/>
  <c r="B31" i="3"/>
  <c r="C22" i="20"/>
  <c r="D22" i="20"/>
  <c r="I22" i="20" s="1"/>
  <c r="E22" i="20"/>
  <c r="G22" i="20" s="1"/>
  <c r="H22" i="20" l="1"/>
  <c r="J22" i="20" s="1"/>
  <c r="B23" i="20" s="1"/>
  <c r="E23" i="20" s="1"/>
  <c r="F23" i="20" l="1"/>
  <c r="G23" i="20" s="1"/>
  <c r="C23" i="20"/>
  <c r="D23" i="20"/>
  <c r="I23" i="20" s="1"/>
  <c r="H23" i="20" l="1"/>
  <c r="J23" i="20" s="1"/>
  <c r="B24" i="20" s="1"/>
  <c r="E24" i="20" s="1"/>
  <c r="D24" i="20" l="1"/>
  <c r="I24" i="20" s="1"/>
  <c r="C24" i="20"/>
  <c r="F24" i="20"/>
  <c r="G24" i="20" s="1"/>
  <c r="H24" i="20" l="1"/>
  <c r="J24" i="20" s="1"/>
  <c r="B25" i="20" s="1"/>
  <c r="C25" i="20" s="1"/>
  <c r="F25" i="20" l="1"/>
  <c r="D25" i="20"/>
  <c r="I25" i="20" s="1"/>
  <c r="E25" i="20"/>
  <c r="H25" i="20" l="1"/>
  <c r="J25" i="20" s="1"/>
  <c r="B26" i="20" s="1"/>
  <c r="F26" i="20" s="1"/>
  <c r="G25" i="20"/>
  <c r="E26" i="20" l="1"/>
  <c r="D26" i="20"/>
  <c r="I26" i="20" s="1"/>
  <c r="H26" i="20" s="1"/>
  <c r="J26" i="20" s="1"/>
  <c r="B27" i="20" s="1"/>
  <c r="F27" i="20" s="1"/>
  <c r="C26" i="20"/>
  <c r="G26" i="20"/>
  <c r="C27" i="20" l="1"/>
  <c r="D27" i="20"/>
  <c r="I27" i="20" s="1"/>
  <c r="E27" i="20"/>
  <c r="G27" i="20" s="1"/>
  <c r="H27" i="20" l="1"/>
  <c r="J27" i="20" s="1"/>
  <c r="B28" i="20" s="1"/>
  <c r="D28" i="20" s="1"/>
  <c r="I28" i="20" s="1"/>
  <c r="C28" i="20" l="1"/>
  <c r="E28" i="20"/>
  <c r="F28" i="20"/>
  <c r="G28" i="20" l="1"/>
  <c r="H28" i="20"/>
  <c r="J28" i="20" s="1"/>
  <c r="B29" i="20" s="1"/>
  <c r="E29" i="20" l="1"/>
  <c r="C29" i="20"/>
  <c r="F29" i="20"/>
  <c r="D29" i="20"/>
  <c r="I29" i="20" s="1"/>
  <c r="G29" i="20" l="1"/>
  <c r="H29" i="20"/>
  <c r="J29" i="20" s="1"/>
  <c r="B30" i="20" s="1"/>
  <c r="F30" i="20" s="1"/>
  <c r="D30" i="20" l="1"/>
  <c r="I30" i="20" s="1"/>
  <c r="E30" i="20"/>
  <c r="G30" i="20" s="1"/>
  <c r="C30" i="20"/>
  <c r="H30" i="20" l="1"/>
  <c r="J30" i="20" s="1"/>
  <c r="B31" i="20" s="1"/>
  <c r="D31" i="20" s="1"/>
  <c r="I31" i="20" s="1"/>
  <c r="F31" i="20" l="1"/>
  <c r="E31" i="20"/>
  <c r="C31" i="20"/>
  <c r="G31" i="20" l="1"/>
  <c r="H31" i="20"/>
  <c r="J31" i="20" s="1"/>
  <c r="B32" i="20" s="1"/>
  <c r="F32" i="20" s="1"/>
  <c r="C32" i="20" l="1"/>
  <c r="E32" i="20"/>
  <c r="G32" i="20" s="1"/>
  <c r="D32" i="20"/>
  <c r="I32" i="20" s="1"/>
  <c r="H32" i="20" l="1"/>
  <c r="J32" i="20" s="1"/>
  <c r="B33" i="20" s="1"/>
  <c r="E33" i="20" s="1"/>
  <c r="C33" i="20" l="1"/>
  <c r="F33" i="20"/>
  <c r="G33" i="20" s="1"/>
  <c r="D33" i="20"/>
  <c r="I33" i="20" s="1"/>
  <c r="H33" i="20" l="1"/>
  <c r="J33" i="20" s="1"/>
  <c r="B34" i="20" s="1"/>
  <c r="F34" i="20" s="1"/>
  <c r="D34" i="20" l="1"/>
  <c r="I34" i="20" s="1"/>
  <c r="E34" i="20"/>
  <c r="G34" i="20" s="1"/>
  <c r="C34" i="20"/>
  <c r="H34" i="20" l="1"/>
  <c r="J34" i="20" s="1"/>
  <c r="B35" i="20" s="1"/>
  <c r="D35" i="20" l="1"/>
  <c r="I35" i="20" s="1"/>
  <c r="E35" i="20"/>
  <c r="C35" i="20"/>
  <c r="F35" i="20"/>
  <c r="G35" i="20" l="1"/>
  <c r="H35" i="20"/>
  <c r="J35" i="20" s="1"/>
  <c r="B36" i="20" s="1"/>
  <c r="F36" i="20" l="1"/>
  <c r="C36" i="20"/>
  <c r="D36" i="20"/>
  <c r="I36" i="20" s="1"/>
  <c r="E36" i="20"/>
  <c r="G36" i="20" l="1"/>
  <c r="H36" i="20"/>
  <c r="J36" i="20" s="1"/>
  <c r="B37" i="20" s="1"/>
  <c r="D37" i="20" l="1"/>
  <c r="I37" i="20" s="1"/>
  <c r="E37" i="20"/>
  <c r="F37" i="20"/>
  <c r="C37" i="20"/>
  <c r="G37" i="20" l="1"/>
  <c r="H37" i="20"/>
  <c r="J37" i="20" s="1"/>
  <c r="B38" i="20" s="1"/>
  <c r="F38" i="20" s="1"/>
  <c r="C38" i="20" l="1"/>
  <c r="D38" i="20"/>
  <c r="I38" i="20" s="1"/>
  <c r="E38" i="20"/>
  <c r="G38" i="20" s="1"/>
  <c r="H38" i="20" l="1"/>
  <c r="J38" i="20" s="1"/>
  <c r="B39" i="20" s="1"/>
  <c r="D39" i="20" l="1"/>
  <c r="I39" i="20" s="1"/>
  <c r="C39" i="20"/>
  <c r="F39" i="20"/>
  <c r="E39" i="20"/>
  <c r="G39" i="20" l="1"/>
  <c r="H39" i="20"/>
  <c r="J39" i="20" s="1"/>
  <c r="B40" i="20" s="1"/>
  <c r="F40" i="20" l="1"/>
  <c r="C40" i="20"/>
  <c r="E40" i="20"/>
  <c r="D40" i="20"/>
  <c r="I40" i="20" s="1"/>
  <c r="H40" i="20" l="1"/>
  <c r="J40" i="20" s="1"/>
  <c r="B41" i="20" s="1"/>
  <c r="E41" i="20" s="1"/>
  <c r="G40" i="20"/>
  <c r="D41" i="20" l="1"/>
  <c r="I41" i="20" s="1"/>
  <c r="F41" i="20"/>
  <c r="G41" i="20" s="1"/>
  <c r="C41" i="20"/>
  <c r="H41" i="20" l="1"/>
  <c r="J41" i="20" s="1"/>
  <c r="B42" i="20" s="1"/>
  <c r="E42" i="20" s="1"/>
  <c r="F42" i="20" l="1"/>
  <c r="G42" i="20" s="1"/>
  <c r="D42" i="20"/>
  <c r="I42" i="20" s="1"/>
  <c r="C42" i="20"/>
  <c r="H42" i="20" l="1"/>
  <c r="J42" i="20" s="1"/>
  <c r="B43" i="20" s="1"/>
  <c r="C43" i="20" s="1"/>
  <c r="F43" i="20" l="1"/>
  <c r="D43" i="20"/>
  <c r="I43" i="20" s="1"/>
  <c r="E43" i="20"/>
  <c r="G43" i="20" l="1"/>
  <c r="H43" i="20"/>
  <c r="J43" i="20" s="1"/>
  <c r="B44" i="20" s="1"/>
  <c r="D44" i="20" s="1"/>
  <c r="I44" i="20" s="1"/>
  <c r="F44" i="20" l="1"/>
  <c r="C44" i="20"/>
  <c r="E44" i="20"/>
  <c r="G44" i="20" l="1"/>
  <c r="H44" i="20"/>
  <c r="J44" i="20" s="1"/>
  <c r="B45" i="20" s="1"/>
  <c r="F45" i="20" s="1"/>
  <c r="E45" i="20" l="1"/>
  <c r="G45" i="20" s="1"/>
  <c r="C45" i="20"/>
  <c r="D45" i="20"/>
  <c r="I45" i="20" s="1"/>
  <c r="H45" i="20" s="1"/>
  <c r="J45" i="20" s="1"/>
  <c r="B46" i="20" s="1"/>
  <c r="D46" i="20" l="1"/>
  <c r="I46" i="20" s="1"/>
  <c r="E46" i="20"/>
  <c r="F46" i="20"/>
  <c r="C46" i="20"/>
  <c r="H46" i="20" l="1"/>
  <c r="J46" i="20" s="1"/>
  <c r="B47" i="20" s="1"/>
  <c r="E47" i="20" s="1"/>
  <c r="G46" i="20"/>
  <c r="F47" i="20" l="1"/>
  <c r="G47" i="20" s="1"/>
  <c r="D47" i="20"/>
  <c r="I47" i="20" s="1"/>
  <c r="C47" i="20"/>
  <c r="H47" i="20" l="1"/>
  <c r="J47" i="20" s="1"/>
  <c r="B48" i="20" s="1"/>
  <c r="C48" i="20" s="1"/>
  <c r="D48" i="20" l="1"/>
  <c r="I48" i="20" s="1"/>
  <c r="E48" i="20"/>
  <c r="F48" i="20"/>
  <c r="H48" i="20" s="1"/>
  <c r="J48" i="20" s="1"/>
  <c r="B49" i="20" s="1"/>
  <c r="E49" i="20" l="1"/>
  <c r="F49" i="20"/>
  <c r="G48" i="20"/>
  <c r="D49" i="20"/>
  <c r="I49" i="20" s="1"/>
  <c r="C49" i="20"/>
  <c r="G49" i="20" l="1"/>
  <c r="H49" i="20"/>
  <c r="J49" i="20" s="1"/>
  <c r="B50" i="20" s="1"/>
  <c r="E50" i="20" l="1"/>
  <c r="C50" i="20"/>
  <c r="F50" i="20"/>
  <c r="D50" i="20"/>
  <c r="I50" i="20" s="1"/>
  <c r="H50" i="20" s="1"/>
  <c r="J50" i="20" s="1"/>
  <c r="B51" i="20" s="1"/>
  <c r="G50" i="20"/>
  <c r="F51" i="20" l="1"/>
  <c r="E51" i="20"/>
  <c r="C51" i="20"/>
  <c r="D51" i="20"/>
  <c r="I51" i="20" s="1"/>
  <c r="G51" i="20"/>
  <c r="H51" i="20"/>
  <c r="J51" i="20" s="1"/>
  <c r="B52" i="20" s="1"/>
  <c r="E52" i="20" l="1"/>
  <c r="C52" i="20"/>
  <c r="D52" i="20"/>
  <c r="I52" i="20" s="1"/>
  <c r="F52" i="20"/>
  <c r="G52" i="20" l="1"/>
  <c r="H52" i="20"/>
  <c r="J52" i="20" s="1"/>
  <c r="B53" i="20" s="1"/>
  <c r="D53" i="20" l="1"/>
  <c r="I53" i="20" s="1"/>
  <c r="F53" i="20"/>
  <c r="E53" i="20"/>
  <c r="C53" i="20"/>
  <c r="H53" i="20" l="1"/>
  <c r="J53" i="20" s="1"/>
  <c r="B54" i="20" s="1"/>
  <c r="C54" i="20" s="1"/>
  <c r="G53" i="20"/>
  <c r="D54" i="20" l="1"/>
  <c r="I54" i="20" s="1"/>
  <c r="E54" i="20"/>
  <c r="F54" i="20"/>
  <c r="G54" i="20" l="1"/>
  <c r="H54" i="20"/>
  <c r="J54" i="20" s="1"/>
  <c r="B55" i="20" s="1"/>
  <c r="C55" i="20" l="1"/>
  <c r="D55" i="20"/>
  <c r="I55" i="20" s="1"/>
  <c r="E55" i="20"/>
  <c r="F55" i="20"/>
  <c r="G55" i="20" l="1"/>
  <c r="H55" i="20"/>
  <c r="J55" i="20" s="1"/>
  <c r="B56" i="20" s="1"/>
  <c r="F56" i="20" l="1"/>
  <c r="D56" i="20"/>
  <c r="I56" i="20" s="1"/>
  <c r="E56" i="20"/>
  <c r="C56" i="20"/>
  <c r="G56" i="20" l="1"/>
  <c r="H56" i="20"/>
  <c r="J56" i="20" s="1"/>
  <c r="B57" i="20" s="1"/>
  <c r="C57" i="20" l="1"/>
  <c r="E57" i="20"/>
  <c r="F57" i="20"/>
  <c r="D57" i="20"/>
  <c r="I57" i="20" s="1"/>
  <c r="H57" i="20" l="1"/>
  <c r="J57" i="20" s="1"/>
  <c r="B58" i="20" s="1"/>
  <c r="E58" i="20" s="1"/>
  <c r="G57" i="20"/>
  <c r="F58" i="20" l="1"/>
  <c r="C58" i="20"/>
  <c r="D58" i="20"/>
  <c r="I58" i="20" s="1"/>
  <c r="H58" i="20" l="1"/>
  <c r="J58" i="20" s="1"/>
  <c r="B59" i="20" s="1"/>
  <c r="D59" i="20" s="1"/>
  <c r="I59" i="20" s="1"/>
  <c r="G58" i="20"/>
  <c r="F59" i="20" l="1"/>
  <c r="E59" i="20"/>
  <c r="C59" i="20"/>
  <c r="G59" i="20"/>
  <c r="H59" i="20"/>
  <c r="J59" i="20" s="1"/>
  <c r="B60" i="20" s="1"/>
  <c r="C60" i="20" l="1"/>
  <c r="D60" i="20"/>
  <c r="I60" i="20" s="1"/>
  <c r="E60" i="20"/>
  <c r="F60" i="20"/>
  <c r="G60" i="20" l="1"/>
  <c r="H60" i="20"/>
  <c r="J60" i="20" s="1"/>
  <c r="B61" i="20" s="1"/>
  <c r="C61" i="20" l="1"/>
  <c r="F61" i="20"/>
  <c r="D61" i="20"/>
  <c r="I61" i="20" s="1"/>
  <c r="E61" i="20"/>
  <c r="H61" i="20" l="1"/>
  <c r="J61" i="20" s="1"/>
  <c r="B62" i="20" s="1"/>
  <c r="E62" i="20" s="1"/>
  <c r="G61" i="20"/>
  <c r="F62" i="20" l="1"/>
  <c r="G62" i="20" s="1"/>
  <c r="C62" i="20"/>
  <c r="D62" i="20"/>
  <c r="I62" i="20" s="1"/>
  <c r="H62" i="20" s="1"/>
  <c r="J62" i="20" s="1"/>
  <c r="B63" i="20" s="1"/>
  <c r="F63" i="20" l="1"/>
  <c r="D63" i="20"/>
  <c r="I63" i="20" s="1"/>
  <c r="E63" i="20"/>
  <c r="C63" i="20"/>
  <c r="G63" i="20" l="1"/>
  <c r="H63" i="20"/>
  <c r="J63" i="20" s="1"/>
  <c r="B64" i="20" s="1"/>
  <c r="F64" i="20" l="1"/>
  <c r="C64" i="20"/>
  <c r="E64" i="20"/>
  <c r="D64" i="20"/>
  <c r="I64" i="20" s="1"/>
  <c r="G64" i="20" l="1"/>
  <c r="H64" i="20"/>
  <c r="J64" i="20" s="1"/>
  <c r="B65" i="20" s="1"/>
  <c r="E65" i="20" l="1"/>
  <c r="C65" i="20"/>
  <c r="D65" i="20"/>
  <c r="I65" i="20" s="1"/>
  <c r="F65" i="20"/>
  <c r="G65" i="20" l="1"/>
  <c r="H65" i="20"/>
  <c r="J65" i="20" s="1"/>
  <c r="B66" i="20" s="1"/>
  <c r="F66" i="20" l="1"/>
  <c r="E66" i="20"/>
  <c r="C66" i="20"/>
  <c r="D66" i="20"/>
  <c r="I66" i="20" s="1"/>
  <c r="G66" i="20" l="1"/>
  <c r="H66" i="20"/>
  <c r="J66" i="20" s="1"/>
  <c r="B67" i="20" s="1"/>
  <c r="D67" i="20" l="1"/>
  <c r="I67" i="20" s="1"/>
  <c r="C67" i="20"/>
  <c r="E67" i="20"/>
  <c r="F67" i="20"/>
  <c r="G67" i="20" l="1"/>
  <c r="H67" i="20"/>
  <c r="J67" i="20" s="1"/>
  <c r="B68" i="20" s="1"/>
  <c r="E68" i="20" s="1"/>
  <c r="F68" i="20" l="1"/>
  <c r="G68" i="20" s="1"/>
  <c r="C68" i="20"/>
  <c r="D68" i="20"/>
  <c r="I68" i="20" s="1"/>
  <c r="H68" i="20" l="1"/>
  <c r="J68" i="20" s="1"/>
  <c r="B69" i="20" s="1"/>
  <c r="D69" i="20" s="1"/>
  <c r="I69" i="20" s="1"/>
  <c r="F69" i="20" l="1"/>
  <c r="E69" i="20"/>
  <c r="C69" i="20"/>
  <c r="G69" i="20" l="1"/>
  <c r="H69" i="20"/>
  <c r="J69" i="20" s="1"/>
  <c r="B70" i="20" s="1"/>
  <c r="F70" i="20" s="1"/>
  <c r="D70" i="20" l="1"/>
  <c r="I70" i="20" s="1"/>
  <c r="E70" i="20"/>
  <c r="G70" i="20" s="1"/>
  <c r="C70" i="20"/>
  <c r="H70" i="20" l="1"/>
  <c r="J70" i="20" s="1"/>
  <c r="B71" i="20" s="1"/>
  <c r="C71" i="20" s="1"/>
  <c r="F71" i="20" l="1"/>
  <c r="G71" i="20" s="1"/>
  <c r="E71" i="20"/>
  <c r="D71" i="20"/>
  <c r="I71" i="20" s="1"/>
  <c r="H71" i="20" l="1"/>
  <c r="J71" i="20" s="1"/>
  <c r="B72" i="20" s="1"/>
  <c r="F72" i="20" s="1"/>
  <c r="D72" i="20" l="1"/>
  <c r="I72" i="20" s="1"/>
  <c r="C72" i="20"/>
  <c r="E72" i="20"/>
  <c r="G72" i="20"/>
  <c r="H72" i="20"/>
  <c r="J72" i="20" s="1"/>
  <c r="B73" i="20" s="1"/>
  <c r="D73" i="20" l="1"/>
  <c r="I73" i="20" s="1"/>
  <c r="F73" i="20"/>
  <c r="E73" i="20"/>
  <c r="C73" i="20"/>
  <c r="G73" i="20" l="1"/>
  <c r="H73" i="20"/>
  <c r="J73" i="20" s="1"/>
  <c r="B74" i="20" s="1"/>
  <c r="C74" i="20" l="1"/>
  <c r="D74" i="20"/>
  <c r="I74" i="20" s="1"/>
  <c r="F74" i="20"/>
  <c r="E74" i="20"/>
  <c r="H74" i="20" l="1"/>
  <c r="J74" i="20" s="1"/>
  <c r="B75" i="20" s="1"/>
  <c r="G74" i="20"/>
  <c r="D75" i="20" l="1"/>
  <c r="I75" i="20" s="1"/>
  <c r="F75" i="20"/>
  <c r="E75" i="20"/>
  <c r="C75" i="20"/>
  <c r="G75" i="20" l="1"/>
  <c r="H75" i="20"/>
  <c r="J75" i="20" s="1"/>
  <c r="B76" i="20" s="1"/>
  <c r="D76" i="20" l="1"/>
  <c r="I76" i="20" s="1"/>
  <c r="F76" i="20"/>
  <c r="E76" i="20"/>
  <c r="C76" i="20"/>
  <c r="G76" i="20" l="1"/>
  <c r="H76" i="20"/>
  <c r="J76" i="20" s="1"/>
  <c r="B77" i="20" s="1"/>
  <c r="E77" i="20" l="1"/>
  <c r="F77" i="20"/>
  <c r="D77" i="20"/>
  <c r="I77" i="20" s="1"/>
  <c r="C77" i="20"/>
  <c r="G77" i="20" l="1"/>
  <c r="H77" i="20"/>
  <c r="J77" i="20" s="1"/>
  <c r="B78" i="20" s="1"/>
  <c r="D78" i="20" s="1"/>
  <c r="I78" i="20" s="1"/>
  <c r="E78" i="20" l="1"/>
  <c r="F78" i="20"/>
  <c r="C78" i="20"/>
  <c r="H78" i="20" l="1"/>
  <c r="J78" i="20" s="1"/>
  <c r="B79" i="20" s="1"/>
  <c r="F79" i="20" s="1"/>
  <c r="G78" i="20"/>
  <c r="C79" i="20" l="1"/>
  <c r="D79" i="20"/>
  <c r="I79" i="20" s="1"/>
  <c r="H79" i="20" s="1"/>
  <c r="J79" i="20" s="1"/>
  <c r="B80" i="20" s="1"/>
  <c r="E80" i="20" s="1"/>
  <c r="E79" i="20"/>
  <c r="G79" i="20"/>
  <c r="D80" i="20" l="1"/>
  <c r="I80" i="20" s="1"/>
  <c r="F80" i="20"/>
  <c r="C80" i="20"/>
  <c r="G80" i="20"/>
  <c r="H80" i="20" l="1"/>
  <c r="J80" i="20" s="1"/>
  <c r="B81" i="20" s="1"/>
  <c r="E81" i="20" s="1"/>
  <c r="F81" i="20" l="1"/>
  <c r="G81" i="20" s="1"/>
  <c r="C81" i="20"/>
  <c r="D81" i="20"/>
  <c r="I81" i="20" s="1"/>
  <c r="H81" i="20" l="1"/>
  <c r="J81" i="20" s="1"/>
  <c r="B82" i="20" s="1"/>
  <c r="F82" i="20" s="1"/>
  <c r="E82" i="20" l="1"/>
  <c r="D82" i="20"/>
  <c r="I82" i="20" s="1"/>
  <c r="H82" i="20" s="1"/>
  <c r="J82" i="20" s="1"/>
  <c r="B83" i="20" s="1"/>
  <c r="C82" i="20"/>
  <c r="G82" i="20"/>
  <c r="D83" i="20" l="1"/>
  <c r="I83" i="20" s="1"/>
  <c r="F83" i="20"/>
  <c r="E83" i="20"/>
  <c r="C83" i="20"/>
  <c r="G83" i="20" l="1"/>
  <c r="H83" i="20"/>
  <c r="J83" i="20" s="1"/>
  <c r="B84" i="20" s="1"/>
  <c r="C84" i="20" s="1"/>
  <c r="D84" i="20" l="1"/>
  <c r="I84" i="20" s="1"/>
  <c r="F84" i="20"/>
  <c r="E84" i="20"/>
  <c r="H84" i="20" l="1"/>
  <c r="J84" i="20" s="1"/>
  <c r="B85" i="20" s="1"/>
  <c r="E85" i="20" s="1"/>
  <c r="G84" i="20"/>
  <c r="F85" i="20" l="1"/>
  <c r="G85" i="20" s="1"/>
  <c r="C85" i="20"/>
  <c r="D85" i="20"/>
  <c r="I85" i="20" s="1"/>
  <c r="H85" i="20" l="1"/>
  <c r="J85" i="20" s="1"/>
  <c r="B86" i="20" s="1"/>
  <c r="F86" i="20" s="1"/>
  <c r="C86" i="20" l="1"/>
  <c r="E86" i="20"/>
  <c r="D86" i="20"/>
  <c r="I86" i="20" s="1"/>
  <c r="G86" i="20"/>
  <c r="H86" i="20" l="1"/>
  <c r="J86" i="20" s="1"/>
  <c r="B87" i="20" s="1"/>
  <c r="F87" i="20" s="1"/>
  <c r="E87" i="20" l="1"/>
  <c r="D87" i="20"/>
  <c r="I87" i="20" s="1"/>
  <c r="C87" i="20"/>
  <c r="G87" i="20"/>
  <c r="H87" i="20"/>
  <c r="J87" i="20" s="1"/>
  <c r="B88" i="20" s="1"/>
  <c r="F88" i="20" l="1"/>
  <c r="D88" i="20"/>
  <c r="I88" i="20" s="1"/>
  <c r="E88" i="20"/>
  <c r="C88" i="20"/>
  <c r="H88" i="20" l="1"/>
  <c r="J88" i="20" s="1"/>
  <c r="B89" i="20" s="1"/>
  <c r="D89" i="20" s="1"/>
  <c r="I89" i="20" s="1"/>
  <c r="G88" i="20"/>
  <c r="E89" i="20" l="1"/>
  <c r="F89" i="20"/>
  <c r="C89" i="20"/>
  <c r="H89" i="20" l="1"/>
  <c r="J89" i="20" s="1"/>
  <c r="B90" i="20" s="1"/>
  <c r="E90" i="20" s="1"/>
  <c r="G89" i="20"/>
  <c r="C90" i="20" l="1"/>
  <c r="D90" i="20"/>
  <c r="I90" i="20" s="1"/>
  <c r="F90" i="20"/>
  <c r="G90" i="20" s="1"/>
  <c r="H90" i="20" l="1"/>
  <c r="J90" i="20" s="1"/>
  <c r="B91" i="20" s="1"/>
  <c r="F91" i="20" s="1"/>
  <c r="D91" i="20" l="1"/>
  <c r="I91" i="20" s="1"/>
  <c r="E91" i="20"/>
  <c r="G91" i="20" s="1"/>
  <c r="C91" i="20"/>
  <c r="H91" i="20" l="1"/>
  <c r="J91" i="20" s="1"/>
  <c r="B92" i="20" s="1"/>
  <c r="F92" i="20" s="1"/>
  <c r="C92" i="20" l="1"/>
  <c r="E92" i="20"/>
  <c r="D92" i="20"/>
  <c r="I92" i="20" s="1"/>
  <c r="H92" i="20"/>
  <c r="J92" i="20" s="1"/>
  <c r="B93" i="20" s="1"/>
  <c r="E93" i="20" s="1"/>
  <c r="G92" i="20"/>
  <c r="F93" i="20" l="1"/>
  <c r="C93" i="20"/>
  <c r="D93" i="20"/>
  <c r="I93" i="20" s="1"/>
  <c r="G93" i="20"/>
  <c r="H93" i="20" l="1"/>
  <c r="J93" i="20" s="1"/>
  <c r="B94" i="20" s="1"/>
  <c r="C94" i="20" s="1"/>
  <c r="E94" i="20" l="1"/>
  <c r="F94" i="20"/>
  <c r="D94" i="20"/>
  <c r="I94" i="20" s="1"/>
  <c r="H94" i="20" l="1"/>
  <c r="J94" i="20" s="1"/>
  <c r="B95" i="20" s="1"/>
  <c r="D95" i="20" s="1"/>
  <c r="I95" i="20" s="1"/>
  <c r="G94" i="20"/>
  <c r="F95" i="20" l="1"/>
  <c r="E95" i="20"/>
  <c r="C95" i="20"/>
  <c r="G95" i="20" l="1"/>
  <c r="H95" i="20"/>
  <c r="J95" i="20" s="1"/>
  <c r="B96" i="20" s="1"/>
  <c r="C96" i="20" s="1"/>
  <c r="F96" i="20" l="1"/>
  <c r="D96" i="20"/>
  <c r="I96" i="20" s="1"/>
  <c r="E96" i="20"/>
  <c r="H96" i="20" l="1"/>
  <c r="J96" i="20" s="1"/>
  <c r="B97" i="20" s="1"/>
  <c r="E97" i="20" s="1"/>
  <c r="G96" i="20"/>
  <c r="D97" i="20" l="1"/>
  <c r="I97" i="20" s="1"/>
  <c r="C97" i="20"/>
  <c r="F97" i="20"/>
  <c r="G97" i="20" s="1"/>
  <c r="H97" i="20"/>
  <c r="J97" i="20" s="1"/>
  <c r="B98" i="20" s="1"/>
  <c r="D98" i="20" s="1"/>
  <c r="I98" i="20" s="1"/>
  <c r="F98" i="20" l="1"/>
  <c r="E98" i="20"/>
  <c r="C98" i="20"/>
  <c r="G98" i="20" l="1"/>
  <c r="H98" i="20"/>
  <c r="J98" i="20" s="1"/>
  <c r="B99" i="20" s="1"/>
  <c r="C99" i="20" l="1"/>
  <c r="D99" i="20"/>
  <c r="I99" i="20" s="1"/>
  <c r="E99" i="20"/>
  <c r="H99" i="20" s="1"/>
  <c r="J99" i="20" s="1"/>
  <c r="B100" i="20" s="1"/>
  <c r="F99" i="20"/>
  <c r="G99" i="20"/>
  <c r="F100" i="20" l="1"/>
  <c r="C100" i="20"/>
  <c r="D100" i="20"/>
  <c r="I100" i="20" s="1"/>
  <c r="E100" i="20"/>
  <c r="G100" i="20"/>
  <c r="H100" i="20" l="1"/>
  <c r="J100" i="20" s="1"/>
  <c r="B101" i="20" s="1"/>
  <c r="D101" i="20" s="1"/>
  <c r="I101" i="20" s="1"/>
  <c r="F101" i="20" l="1"/>
  <c r="C101" i="20"/>
  <c r="E101" i="20"/>
  <c r="H101" i="20" s="1"/>
  <c r="J101" i="20" s="1"/>
  <c r="B102" i="20" s="1"/>
  <c r="E102" i="20" l="1"/>
  <c r="D102" i="20"/>
  <c r="I102" i="20" s="1"/>
  <c r="C102" i="20"/>
  <c r="F102" i="20"/>
  <c r="G102" i="20" s="1"/>
  <c r="G101" i="20"/>
  <c r="H102" i="20" l="1"/>
  <c r="J102" i="20" s="1"/>
  <c r="B103" i="20" s="1"/>
  <c r="D103" i="20" s="1"/>
  <c r="I103" i="20" s="1"/>
  <c r="E103" i="20" l="1"/>
  <c r="F103" i="20"/>
  <c r="C103" i="20"/>
  <c r="H103" i="20"/>
  <c r="J103" i="20" s="1"/>
  <c r="B104" i="20" s="1"/>
  <c r="E104" i="20" s="1"/>
  <c r="G103" i="20"/>
  <c r="C104" i="20" l="1"/>
  <c r="F104" i="20"/>
  <c r="D104" i="20"/>
  <c r="I104" i="20" s="1"/>
  <c r="H104" i="20" s="1"/>
  <c r="J104" i="20" s="1"/>
  <c r="B105" i="20" s="1"/>
  <c r="G104" i="20"/>
  <c r="D105" i="20" l="1"/>
  <c r="I105" i="20" s="1"/>
  <c r="C105" i="20"/>
  <c r="E105" i="20"/>
  <c r="F105" i="20"/>
  <c r="G105" i="20" l="1"/>
  <c r="H105" i="20"/>
  <c r="J105" i="20" s="1"/>
  <c r="B106" i="20" s="1"/>
  <c r="E106" i="20" s="1"/>
  <c r="F106" i="20" l="1"/>
  <c r="G106" i="20" s="1"/>
  <c r="D106" i="20"/>
  <c r="I106" i="20" s="1"/>
  <c r="C106" i="20"/>
  <c r="H106" i="20" l="1"/>
  <c r="J106" i="20" s="1"/>
  <c r="B107" i="20" s="1"/>
  <c r="D107" i="20" s="1"/>
  <c r="I107" i="20" s="1"/>
  <c r="E107" i="20" l="1"/>
  <c r="C107" i="20"/>
  <c r="F107" i="20"/>
  <c r="H107" i="20" l="1"/>
  <c r="J107" i="20" s="1"/>
  <c r="B108" i="20" s="1"/>
  <c r="D108" i="20" s="1"/>
  <c r="I108" i="20" s="1"/>
  <c r="G107" i="20"/>
  <c r="E108" i="20" l="1"/>
  <c r="F108" i="20"/>
  <c r="C108" i="20"/>
  <c r="H108" i="20" l="1"/>
  <c r="J108" i="20" s="1"/>
  <c r="B109" i="20" s="1"/>
  <c r="G108" i="20"/>
  <c r="D109" i="20" l="1"/>
  <c r="I109" i="20" s="1"/>
  <c r="E109" i="20"/>
  <c r="H109" i="20" s="1"/>
  <c r="J109" i="20" s="1"/>
  <c r="B110" i="20" s="1"/>
  <c r="F109" i="20"/>
  <c r="C109" i="20"/>
  <c r="E110" i="20" l="1"/>
  <c r="C110" i="20"/>
  <c r="D110" i="20"/>
  <c r="I110" i="20" s="1"/>
  <c r="H110" i="20" s="1"/>
  <c r="J110" i="20" s="1"/>
  <c r="B111" i="20" s="1"/>
  <c r="D111" i="20" s="1"/>
  <c r="I111" i="20" s="1"/>
  <c r="F110" i="20"/>
  <c r="G110" i="20" s="1"/>
  <c r="G109" i="20"/>
  <c r="F111" i="20" l="1"/>
  <c r="C111" i="20"/>
  <c r="E111" i="20"/>
  <c r="H111" i="20"/>
  <c r="J111" i="20" s="1"/>
  <c r="B112" i="20" s="1"/>
  <c r="E112" i="20" s="1"/>
  <c r="G111" i="20" l="1"/>
  <c r="D112" i="20"/>
  <c r="I112" i="20" s="1"/>
  <c r="F112" i="20"/>
  <c r="G112" i="20" s="1"/>
  <c r="C112" i="20"/>
  <c r="H112" i="20"/>
  <c r="J112" i="20" s="1"/>
  <c r="B113" i="20" s="1"/>
  <c r="E113" i="20" s="1"/>
  <c r="C113" i="20" l="1"/>
  <c r="D113" i="20"/>
  <c r="I113" i="20" s="1"/>
  <c r="F113" i="20"/>
  <c r="G113" i="20" s="1"/>
  <c r="H113" i="20" l="1"/>
  <c r="J113" i="20" s="1"/>
  <c r="B114" i="20" s="1"/>
  <c r="F114" i="20" s="1"/>
  <c r="D114" i="20" l="1"/>
  <c r="I114" i="20" s="1"/>
  <c r="E114" i="20"/>
  <c r="G114" i="20" s="1"/>
  <c r="C114" i="20"/>
  <c r="H114" i="20" l="1"/>
  <c r="J114" i="20" s="1"/>
  <c r="B115" i="20" s="1"/>
  <c r="D115" i="20" s="1"/>
  <c r="I115" i="20" s="1"/>
  <c r="F115" i="20" l="1"/>
  <c r="E115" i="20"/>
  <c r="C115" i="20"/>
  <c r="G115" i="20" l="1"/>
  <c r="H115" i="20"/>
  <c r="J115" i="20" s="1"/>
  <c r="B116" i="20" s="1"/>
  <c r="D116" i="20" s="1"/>
  <c r="I116" i="20" s="1"/>
  <c r="E116" i="20" l="1"/>
  <c r="G116" i="20" s="1"/>
  <c r="C116" i="20"/>
  <c r="F116" i="20"/>
  <c r="H116" i="20" l="1"/>
  <c r="J116" i="20" s="1"/>
  <c r="B117" i="20" s="1"/>
  <c r="E117" i="20" l="1"/>
  <c r="F117" i="20"/>
  <c r="G117" i="20" s="1"/>
  <c r="C117" i="20"/>
  <c r="D117" i="20"/>
  <c r="I117" i="20" s="1"/>
  <c r="H117" i="20" s="1"/>
  <c r="J117" i="20" s="1"/>
  <c r="B118" i="20" s="1"/>
  <c r="F118" i="20" l="1"/>
  <c r="D118" i="20"/>
  <c r="I118" i="20" s="1"/>
  <c r="E118" i="20"/>
  <c r="G118" i="20" s="1"/>
  <c r="C118" i="20"/>
  <c r="H118" i="20" l="1"/>
  <c r="J118" i="20" s="1"/>
  <c r="B119" i="20" s="1"/>
  <c r="D119" i="20" s="1"/>
  <c r="I119" i="20" s="1"/>
  <c r="E119" i="20" l="1"/>
  <c r="G119" i="20" s="1"/>
  <c r="F119" i="20"/>
  <c r="H119" i="20" s="1"/>
  <c r="J119" i="20" s="1"/>
  <c r="B120" i="20" s="1"/>
  <c r="C119" i="20"/>
  <c r="D120" i="20" l="1"/>
  <c r="I120" i="20" s="1"/>
  <c r="F120" i="20"/>
  <c r="E120" i="20"/>
  <c r="C120" i="20"/>
  <c r="H120" i="20"/>
  <c r="J120" i="20" s="1"/>
  <c r="B121" i="20" s="1"/>
  <c r="E121" i="20" s="1"/>
  <c r="G120" i="20"/>
  <c r="D121" i="20" l="1"/>
  <c r="I121" i="20" s="1"/>
  <c r="C121" i="20"/>
  <c r="F121" i="20"/>
  <c r="G121" i="20" s="1"/>
  <c r="H121" i="20" l="1"/>
  <c r="J121" i="20" s="1"/>
  <c r="B122" i="20" s="1"/>
  <c r="F122" i="20" s="1"/>
  <c r="D122" i="20" l="1"/>
  <c r="I122" i="20" s="1"/>
  <c r="C122" i="20"/>
  <c r="E122" i="20"/>
  <c r="G122" i="20" s="1"/>
  <c r="H122" i="20" l="1"/>
  <c r="J122" i="20" s="1"/>
  <c r="B123" i="20" s="1"/>
  <c r="D123" i="20" l="1"/>
  <c r="I123" i="20" s="1"/>
  <c r="F123" i="20"/>
  <c r="C123" i="20"/>
  <c r="E123" i="20"/>
  <c r="H123" i="20" l="1"/>
  <c r="J123" i="20" s="1"/>
  <c r="B124" i="20" s="1"/>
  <c r="F124" i="20" s="1"/>
  <c r="G123" i="20"/>
  <c r="E124" i="20" l="1"/>
  <c r="G124" i="20" s="1"/>
  <c r="C124" i="20"/>
  <c r="D124" i="20"/>
  <c r="I124" i="20" s="1"/>
  <c r="H124" i="20" l="1"/>
  <c r="J124" i="20" s="1"/>
  <c r="B125" i="20" s="1"/>
  <c r="E125" i="20" s="1"/>
  <c r="C125" i="20" l="1"/>
  <c r="F125" i="20"/>
  <c r="G125" i="20" s="1"/>
  <c r="D125" i="20"/>
  <c r="I125" i="20" s="1"/>
  <c r="H125" i="20" l="1"/>
  <c r="J125" i="20" s="1"/>
  <c r="B126" i="20" s="1"/>
  <c r="F126" i="20" s="1"/>
  <c r="C126" i="20" l="1"/>
  <c r="D126" i="20"/>
  <c r="I126" i="20" s="1"/>
  <c r="E126" i="20"/>
  <c r="G126" i="20" s="1"/>
  <c r="H126" i="20" l="1"/>
  <c r="J126" i="20" s="1"/>
  <c r="B127" i="20" s="1"/>
  <c r="D127" i="20" s="1"/>
  <c r="I127" i="20" s="1"/>
  <c r="C127" i="20" l="1"/>
  <c r="F127" i="20"/>
  <c r="E127" i="20"/>
  <c r="G127" i="20" l="1"/>
  <c r="H127" i="20"/>
  <c r="J127" i="20" s="1"/>
  <c r="B128" i="20" s="1"/>
  <c r="F128" i="20" s="1"/>
  <c r="C128" i="20" l="1"/>
  <c r="E128" i="20"/>
  <c r="G128" i="20" s="1"/>
  <c r="D128" i="20"/>
  <c r="I128" i="20" s="1"/>
  <c r="H128" i="20" l="1"/>
  <c r="J128" i="20" s="1"/>
  <c r="B129" i="20" s="1"/>
  <c r="E129" i="20" s="1"/>
  <c r="C129" i="20" l="1"/>
  <c r="F129" i="20"/>
  <c r="G129" i="20" s="1"/>
  <c r="D129" i="20"/>
  <c r="I129" i="20" s="1"/>
  <c r="H129" i="20" l="1"/>
  <c r="J129" i="20" s="1"/>
  <c r="B130" i="20" s="1"/>
  <c r="E130" i="20" l="1"/>
  <c r="C130" i="20"/>
  <c r="F130" i="20"/>
  <c r="D130" i="20"/>
  <c r="I130" i="20" s="1"/>
  <c r="H130" i="20" l="1"/>
  <c r="J130" i="20" s="1"/>
  <c r="B131" i="20" s="1"/>
  <c r="D131" i="20" s="1"/>
  <c r="I131" i="20" s="1"/>
  <c r="G130" i="20"/>
  <c r="E131" i="20" l="1"/>
  <c r="H131" i="20" s="1"/>
  <c r="J131" i="20" s="1"/>
  <c r="B132" i="20" s="1"/>
  <c r="F131" i="20"/>
  <c r="C131" i="20"/>
  <c r="D132" i="20" l="1"/>
  <c r="I132" i="20" s="1"/>
  <c r="C132" i="20"/>
  <c r="F132" i="20"/>
  <c r="E132" i="20"/>
  <c r="H132" i="20" s="1"/>
  <c r="J132" i="20" s="1"/>
  <c r="B133" i="20" s="1"/>
  <c r="C133" i="20" s="1"/>
  <c r="G131" i="20"/>
  <c r="G132" i="20" l="1"/>
  <c r="D133" i="20"/>
  <c r="I133" i="20" s="1"/>
  <c r="E133" i="20"/>
  <c r="F133" i="20"/>
  <c r="G133" i="20" l="1"/>
  <c r="H133" i="20"/>
  <c r="J133" i="20" s="1"/>
  <c r="B134" i="20" s="1"/>
  <c r="D134" i="20" s="1"/>
  <c r="I134" i="20" s="1"/>
  <c r="C134" i="20" l="1"/>
  <c r="E134" i="20"/>
  <c r="F134" i="20"/>
  <c r="G134" i="20" l="1"/>
  <c r="H134" i="20"/>
  <c r="J134" i="20" s="1"/>
  <c r="B135" i="20" s="1"/>
  <c r="F135" i="20" s="1"/>
  <c r="E135" i="20" l="1"/>
  <c r="G135" i="20" s="1"/>
  <c r="C135" i="20"/>
  <c r="D135" i="20"/>
  <c r="I135" i="20" s="1"/>
  <c r="H135" i="20" l="1"/>
  <c r="J135" i="20" s="1"/>
  <c r="B136" i="20" s="1"/>
  <c r="F136" i="20" s="1"/>
  <c r="E136" i="20" l="1"/>
  <c r="G136" i="20" s="1"/>
  <c r="C136" i="20"/>
  <c r="D136" i="20"/>
  <c r="I136" i="20" s="1"/>
  <c r="H136" i="20" l="1"/>
  <c r="J136" i="20" s="1"/>
  <c r="B137" i="20" s="1"/>
  <c r="F137" i="20" s="1"/>
  <c r="E137" i="20" l="1"/>
  <c r="G137" i="20" s="1"/>
  <c r="D137" i="20"/>
  <c r="I137" i="20" s="1"/>
  <c r="C137" i="20"/>
  <c r="H137" i="20" l="1"/>
  <c r="J137" i="20" s="1"/>
  <c r="B138" i="20" s="1"/>
  <c r="E138" i="20" s="1"/>
  <c r="F138" i="20" l="1"/>
  <c r="D138" i="20"/>
  <c r="I138" i="20" s="1"/>
  <c r="C138" i="20"/>
  <c r="H138" i="20"/>
  <c r="J138" i="20" s="1"/>
  <c r="B139" i="20" s="1"/>
  <c r="D139" i="20" s="1"/>
  <c r="I139" i="20" s="1"/>
  <c r="G138" i="20"/>
  <c r="E139" i="20" l="1"/>
  <c r="C139" i="20"/>
  <c r="F139" i="20"/>
  <c r="G139" i="20" l="1"/>
  <c r="H139" i="20"/>
  <c r="J139" i="20" s="1"/>
  <c r="B140" i="20" s="1"/>
  <c r="E140" i="20" s="1"/>
  <c r="D140" i="20" l="1"/>
  <c r="I140" i="20" s="1"/>
  <c r="C140" i="20"/>
  <c r="F140" i="20"/>
  <c r="G140" i="20" s="1"/>
  <c r="H140" i="20" l="1"/>
  <c r="J140" i="20" s="1"/>
  <c r="B141" i="20" s="1"/>
  <c r="D141" i="20" s="1"/>
  <c r="I141" i="20" s="1"/>
  <c r="C141" i="20" l="1"/>
  <c r="E141" i="20"/>
  <c r="F141" i="20"/>
  <c r="H141" i="20"/>
  <c r="J141" i="20" s="1"/>
  <c r="B142" i="20" s="1"/>
  <c r="E142" i="20" s="1"/>
  <c r="G141" i="20" l="1"/>
  <c r="C142" i="20"/>
  <c r="D142" i="20"/>
  <c r="I142" i="20" s="1"/>
  <c r="F142" i="20"/>
  <c r="G142" i="20" s="1"/>
  <c r="H142" i="20" l="1"/>
  <c r="J142" i="20" s="1"/>
  <c r="B143" i="20" s="1"/>
  <c r="E143" i="20" s="1"/>
  <c r="F143" i="20" l="1"/>
  <c r="G143" i="20" s="1"/>
  <c r="D143" i="20"/>
  <c r="I143" i="20" s="1"/>
  <c r="C143" i="20"/>
  <c r="H143" i="20"/>
  <c r="J143" i="20" s="1"/>
  <c r="B144" i="20" s="1"/>
  <c r="D144" i="20" s="1"/>
  <c r="I144" i="20" s="1"/>
  <c r="C144" i="20" l="1"/>
  <c r="E144" i="20"/>
  <c r="F144" i="20"/>
  <c r="G144" i="20" s="1"/>
  <c r="H144" i="20" l="1"/>
  <c r="J144" i="20" s="1"/>
  <c r="B145" i="20" s="1"/>
  <c r="D145" i="20" s="1"/>
  <c r="I145" i="20" l="1"/>
  <c r="E145" i="20"/>
  <c r="H145" i="20" s="1"/>
  <c r="J145" i="20" s="1"/>
  <c r="B146" i="20" s="1"/>
  <c r="F145" i="20"/>
  <c r="C145" i="20"/>
  <c r="E146" i="20" l="1"/>
  <c r="G146" i="20" s="1"/>
  <c r="D146" i="20"/>
  <c r="I146" i="20" s="1"/>
  <c r="C146" i="20"/>
  <c r="F146" i="20"/>
  <c r="G145" i="20"/>
  <c r="H146" i="20" l="1"/>
  <c r="J146" i="20" s="1"/>
  <c r="B147" i="20" s="1"/>
  <c r="D147" i="20" l="1"/>
  <c r="I147" i="20"/>
  <c r="C147" i="20"/>
  <c r="F147" i="20"/>
  <c r="E147" i="20"/>
  <c r="G147" i="20" s="1"/>
  <c r="H147" i="20" l="1"/>
  <c r="J147" i="20" s="1"/>
  <c r="B148" i="20" s="1"/>
  <c r="D148" i="20" l="1"/>
  <c r="I148" i="20" s="1"/>
  <c r="H148" i="20" s="1"/>
  <c r="J148" i="20" s="1"/>
  <c r="B149" i="20" s="1"/>
  <c r="F148" i="20"/>
  <c r="C148" i="20"/>
  <c r="E148" i="20"/>
  <c r="G148" i="20"/>
  <c r="E149" i="20" l="1"/>
  <c r="F149" i="20"/>
  <c r="D149" i="20"/>
  <c r="C149" i="20"/>
  <c r="I149" i="20"/>
  <c r="H149" i="20" s="1"/>
  <c r="J149" i="20" s="1"/>
  <c r="B150" i="20" s="1"/>
  <c r="F150" i="20" s="1"/>
  <c r="G149" i="20"/>
  <c r="D150" i="20" l="1"/>
  <c r="E150" i="20"/>
  <c r="C150" i="20"/>
  <c r="G150" i="20"/>
  <c r="I150" i="20"/>
  <c r="H150" i="20" s="1"/>
  <c r="J150" i="20" s="1"/>
  <c r="B151" i="20" s="1"/>
  <c r="D151" i="20" l="1"/>
  <c r="E151" i="20"/>
  <c r="I151" i="20"/>
  <c r="F151" i="20"/>
  <c r="C151" i="20"/>
  <c r="G151" i="20" l="1"/>
  <c r="H151" i="20"/>
  <c r="J151" i="20" s="1"/>
  <c r="B152" i="20" s="1"/>
  <c r="F152" i="20" l="1"/>
  <c r="C152" i="20"/>
  <c r="D152" i="20"/>
  <c r="I152" i="20" s="1"/>
  <c r="E152" i="20"/>
  <c r="H152" i="20" l="1"/>
  <c r="J152" i="20" s="1"/>
  <c r="B153" i="20" s="1"/>
  <c r="F153" i="20" s="1"/>
  <c r="G152" i="20"/>
  <c r="D153" i="20" l="1"/>
  <c r="E153" i="20"/>
  <c r="C153" i="20"/>
  <c r="G153" i="20"/>
  <c r="I153" i="20"/>
  <c r="H153" i="20" l="1"/>
  <c r="J153" i="20" s="1"/>
  <c r="B154" i="20" s="1"/>
  <c r="F154" i="20" s="1"/>
  <c r="D154" i="20" l="1"/>
  <c r="I154" i="20" s="1"/>
  <c r="C154" i="20"/>
  <c r="E154" i="20"/>
  <c r="G154" i="20" s="1"/>
  <c r="H154" i="20" l="1"/>
  <c r="J154" i="20" s="1"/>
  <c r="B155" i="20" s="1"/>
  <c r="D155" i="20" s="1"/>
  <c r="F155" i="20" l="1"/>
  <c r="E155" i="20"/>
  <c r="C155" i="20"/>
  <c r="I155" i="20"/>
  <c r="H155" i="20" l="1"/>
  <c r="J155" i="20" s="1"/>
  <c r="B156" i="20" s="1"/>
  <c r="E156" i="20" s="1"/>
  <c r="G155" i="20"/>
  <c r="D156" i="20" l="1"/>
  <c r="I156" i="20" s="1"/>
  <c r="C156" i="20"/>
  <c r="F156" i="20"/>
  <c r="G156" i="20"/>
  <c r="H156" i="20"/>
  <c r="J156" i="20" s="1"/>
  <c r="B157" i="20" s="1"/>
  <c r="E157" i="20" l="1"/>
  <c r="F157" i="20"/>
  <c r="D157" i="20"/>
  <c r="C157" i="20"/>
  <c r="G157" i="20" l="1"/>
  <c r="I157" i="20"/>
  <c r="H157" i="20" s="1"/>
  <c r="J157" i="20" s="1"/>
  <c r="B158" i="20" s="1"/>
  <c r="E158" i="20" l="1"/>
  <c r="D158" i="20"/>
  <c r="F158" i="20"/>
  <c r="C158" i="20"/>
  <c r="G158" i="20" l="1"/>
  <c r="I158" i="20"/>
  <c r="H158" i="20" s="1"/>
  <c r="J158" i="20" s="1"/>
  <c r="B159" i="20" s="1"/>
  <c r="D159" i="20" l="1"/>
  <c r="E159" i="20"/>
  <c r="I159" i="20"/>
  <c r="F159" i="20"/>
  <c r="C159" i="20"/>
  <c r="G159" i="20" l="1"/>
  <c r="H159" i="20"/>
  <c r="J159" i="20" s="1"/>
  <c r="B160" i="20" s="1"/>
  <c r="E160" i="20" l="1"/>
  <c r="D160" i="20"/>
  <c r="I160" i="20" s="1"/>
  <c r="F160" i="20"/>
  <c r="C160" i="20"/>
  <c r="G160" i="20" l="1"/>
  <c r="H160" i="20"/>
  <c r="J160" i="20" s="1"/>
  <c r="B161" i="20" s="1"/>
  <c r="E161" i="20" l="1"/>
  <c r="F161" i="20"/>
  <c r="D161" i="20"/>
  <c r="C161" i="20"/>
  <c r="G161" i="20" l="1"/>
  <c r="I161" i="20"/>
  <c r="H161" i="20" s="1"/>
  <c r="J161" i="20" s="1"/>
  <c r="B162" i="20" s="1"/>
  <c r="F162" i="20" l="1"/>
  <c r="C162" i="20"/>
  <c r="E162" i="20"/>
  <c r="D162" i="20"/>
  <c r="G162" i="20" l="1"/>
  <c r="I162" i="20"/>
  <c r="H162" i="20" s="1"/>
  <c r="J162" i="20" s="1"/>
  <c r="B163" i="20" s="1"/>
  <c r="D163" i="20" l="1"/>
  <c r="I163" i="20" s="1"/>
  <c r="E163" i="20"/>
  <c r="F163" i="20"/>
  <c r="C163" i="20"/>
  <c r="G163" i="20" l="1"/>
  <c r="H163" i="20"/>
  <c r="J163" i="20" s="1"/>
  <c r="B164" i="20" s="1"/>
  <c r="F164" i="20" l="1"/>
  <c r="C164" i="20"/>
  <c r="E164" i="20"/>
  <c r="D164" i="20"/>
  <c r="G164" i="20" l="1"/>
  <c r="I164" i="20"/>
  <c r="H164" i="20" s="1"/>
  <c r="J164" i="20" s="1"/>
  <c r="B165" i="20" s="1"/>
  <c r="D165" i="20" l="1"/>
  <c r="I165" i="20" s="1"/>
  <c r="C165" i="20"/>
  <c r="E165" i="20"/>
  <c r="F165" i="20"/>
  <c r="G165" i="20" l="1"/>
  <c r="H165" i="20"/>
  <c r="J165" i="20" s="1"/>
  <c r="B166" i="20" s="1"/>
  <c r="F166" i="20" l="1"/>
  <c r="C166" i="20"/>
  <c r="E166" i="20"/>
  <c r="D166" i="20"/>
  <c r="G166" i="20" l="1"/>
  <c r="I166" i="20"/>
  <c r="H166" i="20" s="1"/>
  <c r="J166" i="20" s="1"/>
  <c r="B167" i="20" s="1"/>
  <c r="F167" i="20" l="1"/>
  <c r="C167" i="20"/>
  <c r="D167" i="20"/>
  <c r="I167" i="20" s="1"/>
  <c r="E167" i="20"/>
  <c r="G167" i="20" l="1"/>
  <c r="H167" i="20"/>
  <c r="J167" i="20" s="1"/>
  <c r="B168" i="20" s="1"/>
  <c r="E168" i="20" l="1"/>
  <c r="C168" i="20"/>
  <c r="F168" i="20"/>
  <c r="D168" i="20"/>
  <c r="I168" i="20" s="1"/>
  <c r="H168" i="20" l="1"/>
  <c r="J168" i="20" s="1"/>
  <c r="B169" i="20" s="1"/>
  <c r="G168" i="20"/>
  <c r="E169" i="20" l="1"/>
  <c r="F169" i="20"/>
  <c r="D169" i="20"/>
  <c r="C169" i="20"/>
  <c r="G169" i="20" l="1"/>
  <c r="I169" i="20"/>
  <c r="H169" i="20" s="1"/>
  <c r="J169" i="20" s="1"/>
  <c r="B170" i="20" s="1"/>
  <c r="F170" i="20" l="1"/>
  <c r="C170" i="20"/>
  <c r="E170" i="20"/>
  <c r="G170" i="20" s="1"/>
  <c r="D170" i="20"/>
  <c r="I170" i="20" l="1"/>
  <c r="H170" i="20" s="1"/>
  <c r="J170" i="20" s="1"/>
  <c r="B171" i="20" s="1"/>
  <c r="F171" i="20" l="1"/>
  <c r="C171" i="20"/>
  <c r="D171" i="20"/>
  <c r="I171" i="20" s="1"/>
  <c r="E171" i="20"/>
  <c r="G171" i="20" l="1"/>
  <c r="H171" i="20"/>
  <c r="J171" i="20" s="1"/>
  <c r="B172" i="20" s="1"/>
  <c r="F172" i="20" l="1"/>
  <c r="C172" i="20"/>
  <c r="E172" i="20"/>
  <c r="D172" i="20"/>
  <c r="G172" i="20" l="1"/>
  <c r="I172" i="20"/>
  <c r="H172" i="20" s="1"/>
  <c r="J172" i="20" s="1"/>
  <c r="B173" i="20" s="1"/>
  <c r="D173" i="20" l="1"/>
  <c r="I173" i="20" s="1"/>
  <c r="C173" i="20"/>
  <c r="E173" i="20"/>
  <c r="F173" i="20"/>
  <c r="G173" i="20" l="1"/>
  <c r="H173" i="20"/>
  <c r="J173" i="20" s="1"/>
  <c r="B174" i="20" s="1"/>
  <c r="F174" i="20" l="1"/>
  <c r="C174" i="20"/>
  <c r="E174" i="20"/>
  <c r="G174" i="20" s="1"/>
  <c r="D174" i="20"/>
  <c r="I174" i="20" l="1"/>
  <c r="H174" i="20" s="1"/>
  <c r="J174" i="20" s="1"/>
  <c r="B175" i="20" s="1"/>
  <c r="F175" i="20" l="1"/>
  <c r="C175" i="20"/>
  <c r="D175" i="20"/>
  <c r="I175" i="20" s="1"/>
  <c r="E175" i="20"/>
  <c r="G175" i="20" l="1"/>
  <c r="H175" i="20"/>
  <c r="J175" i="20" s="1"/>
  <c r="B176" i="20" s="1"/>
  <c r="F176" i="20" l="1"/>
  <c r="C176" i="20"/>
  <c r="E176" i="20"/>
  <c r="G176" i="20" s="1"/>
  <c r="D176" i="20"/>
  <c r="I176" i="20" l="1"/>
  <c r="H176" i="20" s="1"/>
  <c r="J176" i="20" s="1"/>
  <c r="B177" i="20" s="1"/>
  <c r="E177" i="20" l="1"/>
  <c r="F177" i="20"/>
  <c r="D177" i="20"/>
  <c r="C177" i="20"/>
  <c r="G177" i="20" l="1"/>
  <c r="I177" i="20"/>
  <c r="H177" i="20" s="1"/>
  <c r="J177" i="20" s="1"/>
  <c r="B178" i="20" s="1"/>
  <c r="F178" i="20" l="1"/>
  <c r="C178" i="20"/>
  <c r="E178" i="20"/>
  <c r="G178" i="20" s="1"/>
  <c r="D178" i="20"/>
  <c r="I178" i="20" l="1"/>
  <c r="H178" i="20" s="1"/>
  <c r="J178" i="20" s="1"/>
  <c r="B179" i="20" s="1"/>
  <c r="F179" i="20" l="1"/>
  <c r="C179" i="20"/>
  <c r="D179" i="20"/>
  <c r="I179" i="20" s="1"/>
  <c r="E179" i="20"/>
  <c r="G179" i="20" l="1"/>
  <c r="H179" i="20"/>
  <c r="J179" i="20" s="1"/>
  <c r="B180" i="20" s="1"/>
  <c r="F180" i="20" l="1"/>
  <c r="C180" i="20"/>
  <c r="E180" i="20"/>
  <c r="G180" i="20" s="1"/>
  <c r="D180" i="20"/>
  <c r="I180" i="20" l="1"/>
  <c r="H180" i="20" s="1"/>
  <c r="J180" i="20" s="1"/>
  <c r="B181" i="20" s="1"/>
  <c r="D181" i="20" l="1"/>
  <c r="I181" i="20" s="1"/>
  <c r="C181" i="20"/>
  <c r="E181" i="20"/>
  <c r="F181" i="20"/>
  <c r="G181" i="20" l="1"/>
  <c r="H181" i="20"/>
  <c r="J181" i="20" s="1"/>
  <c r="B182" i="20" s="1"/>
  <c r="F182" i="20" l="1"/>
  <c r="C182" i="20"/>
  <c r="E182" i="20"/>
  <c r="G182" i="20" s="1"/>
  <c r="D182" i="20"/>
  <c r="I182" i="20" l="1"/>
  <c r="H182" i="20" s="1"/>
  <c r="J182" i="20" s="1"/>
  <c r="B183" i="20" s="1"/>
  <c r="F183" i="20" l="1"/>
  <c r="C183" i="20"/>
  <c r="D183" i="20"/>
  <c r="I183" i="20" s="1"/>
  <c r="E183" i="20"/>
  <c r="G183" i="20" l="1"/>
  <c r="H183" i="20"/>
  <c r="J183" i="20" s="1"/>
  <c r="B184" i="20" s="1"/>
  <c r="E184" i="20" l="1"/>
  <c r="F184" i="20"/>
  <c r="C184" i="20"/>
  <c r="D184" i="20"/>
  <c r="I184" i="20" s="1"/>
  <c r="H184" i="20" l="1"/>
  <c r="J184" i="20" s="1"/>
  <c r="B185" i="20" s="1"/>
  <c r="G184" i="20"/>
  <c r="E185" i="20" l="1"/>
  <c r="F185" i="20"/>
  <c r="D185" i="20"/>
  <c r="C185" i="20"/>
  <c r="G185" i="20" l="1"/>
  <c r="I185" i="20"/>
  <c r="H185" i="20" s="1"/>
  <c r="J185" i="20" s="1"/>
  <c r="B186" i="20" s="1"/>
  <c r="F186" i="20" l="1"/>
  <c r="C186" i="20"/>
  <c r="E186" i="20"/>
  <c r="G186" i="20" s="1"/>
  <c r="D186" i="20"/>
  <c r="I186" i="20" l="1"/>
  <c r="H186" i="20" s="1"/>
  <c r="J186" i="20" s="1"/>
  <c r="B187" i="20" s="1"/>
  <c r="D187" i="20" l="1"/>
  <c r="E187" i="20"/>
  <c r="I187" i="20"/>
  <c r="F187" i="20"/>
  <c r="C187" i="20"/>
  <c r="G187" i="20" l="1"/>
  <c r="H187" i="20"/>
  <c r="J187" i="20" s="1"/>
  <c r="B188" i="20" s="1"/>
  <c r="F188" i="20" l="1"/>
  <c r="C188" i="20"/>
  <c r="E188" i="20"/>
  <c r="D188" i="20"/>
  <c r="G188" i="20" l="1"/>
  <c r="I188" i="20"/>
  <c r="H188" i="20" s="1"/>
  <c r="J188" i="20" s="1"/>
  <c r="B189" i="20" s="1"/>
  <c r="D189" i="20" l="1"/>
  <c r="I189" i="20" s="1"/>
  <c r="C189" i="20"/>
  <c r="E189" i="20"/>
  <c r="F189" i="20"/>
  <c r="G189" i="20" l="1"/>
  <c r="H189" i="20"/>
  <c r="J189" i="20" s="1"/>
  <c r="B190" i="20" s="1"/>
  <c r="F190" i="20" l="1"/>
  <c r="C190" i="20"/>
  <c r="E190" i="20"/>
  <c r="G190" i="20" s="1"/>
  <c r="D190" i="20"/>
  <c r="I190" i="20" l="1"/>
  <c r="H190" i="20" s="1"/>
  <c r="J190" i="20" s="1"/>
  <c r="B191" i="20" s="1"/>
  <c r="F191" i="20" l="1"/>
  <c r="C191" i="20"/>
  <c r="D191" i="20"/>
  <c r="I191" i="20" s="1"/>
  <c r="E191" i="20"/>
  <c r="G191" i="20" l="1"/>
  <c r="H191" i="20"/>
  <c r="J191" i="20" s="1"/>
  <c r="B192" i="20" s="1"/>
  <c r="F192" i="20" l="1"/>
  <c r="C192" i="20"/>
  <c r="E192" i="20"/>
  <c r="G192" i="20" s="1"/>
  <c r="D192" i="20"/>
  <c r="I192" i="20" l="1"/>
  <c r="H192" i="20" s="1"/>
  <c r="J192" i="20" s="1"/>
  <c r="B193" i="20" s="1"/>
  <c r="E193" i="20" l="1"/>
  <c r="F193" i="20"/>
  <c r="D193" i="20"/>
  <c r="C193" i="20"/>
  <c r="G193" i="20" l="1"/>
  <c r="I193" i="20"/>
  <c r="H193" i="20" s="1"/>
  <c r="J193" i="20" s="1"/>
  <c r="B194" i="20" s="1"/>
  <c r="F194" i="20" l="1"/>
  <c r="C194" i="20"/>
  <c r="E194" i="20"/>
  <c r="D194" i="20"/>
  <c r="G194" i="20" l="1"/>
  <c r="I194" i="20"/>
  <c r="H194" i="20" s="1"/>
  <c r="J194" i="20" s="1"/>
  <c r="B195" i="20" s="1"/>
  <c r="F195" i="20" l="1"/>
  <c r="C195" i="20"/>
  <c r="D195" i="20"/>
  <c r="I195" i="20" s="1"/>
  <c r="E195" i="20"/>
  <c r="G195" i="20" l="1"/>
  <c r="H195" i="20"/>
  <c r="J195" i="20" s="1"/>
  <c r="B196" i="20" s="1"/>
  <c r="F196" i="20" l="1"/>
  <c r="C196" i="20"/>
  <c r="E196" i="20"/>
  <c r="D196" i="20"/>
  <c r="G196" i="20" l="1"/>
  <c r="I196" i="20"/>
  <c r="H196" i="20" s="1"/>
  <c r="J196" i="20" s="1"/>
  <c r="B197" i="20" s="1"/>
  <c r="F197" i="20" l="1"/>
  <c r="C197" i="20"/>
  <c r="D197" i="20"/>
  <c r="I197" i="20" s="1"/>
  <c r="E197" i="20"/>
  <c r="H197" i="20" l="1"/>
  <c r="J197" i="20" s="1"/>
  <c r="B198" i="20" s="1"/>
  <c r="F198" i="20" s="1"/>
  <c r="G197" i="20"/>
  <c r="D198" i="20" l="1"/>
  <c r="I198" i="20" s="1"/>
  <c r="C198" i="20"/>
  <c r="E198" i="20"/>
  <c r="H198" i="20" l="1"/>
  <c r="J198" i="20" s="1"/>
  <c r="B199" i="20" s="1"/>
  <c r="C199" i="20" s="1"/>
  <c r="G198" i="20"/>
  <c r="F199" i="20" l="1"/>
  <c r="D199" i="20"/>
  <c r="I199" i="20" s="1"/>
  <c r="E199" i="20"/>
  <c r="G199" i="20" s="1"/>
  <c r="H199" i="20" l="1"/>
  <c r="J199" i="20" s="1"/>
  <c r="B200" i="20" s="1"/>
  <c r="F200" i="20" s="1"/>
  <c r="D200" i="20" l="1"/>
  <c r="C200" i="20"/>
  <c r="E200" i="20"/>
  <c r="G200" i="20" s="1"/>
  <c r="I200" i="20"/>
  <c r="H200" i="20" l="1"/>
  <c r="J200" i="20" s="1"/>
  <c r="B201" i="20" s="1"/>
  <c r="I201" i="20" s="1"/>
  <c r="C201" i="20" l="1"/>
  <c r="E201" i="20"/>
  <c r="G201" i="20"/>
  <c r="J201" i="20"/>
  <c r="B202" i="20" s="1"/>
  <c r="F202" i="20" s="1"/>
  <c r="F201" i="20"/>
  <c r="H201" i="20"/>
  <c r="D201" i="20"/>
  <c r="I202" i="20" l="1"/>
  <c r="G202" i="20"/>
  <c r="C202" i="20"/>
  <c r="J202" i="20"/>
  <c r="B203" i="20" s="1"/>
  <c r="H203" i="20" s="1"/>
  <c r="D202" i="20"/>
  <c r="E202" i="20"/>
  <c r="H202" i="20"/>
  <c r="G203" i="20" l="1"/>
  <c r="I203" i="20"/>
  <c r="D203" i="20"/>
  <c r="J203" i="20"/>
  <c r="B204" i="20" s="1"/>
  <c r="H204" i="20" s="1"/>
  <c r="C203" i="20"/>
  <c r="F203" i="20"/>
  <c r="E203" i="20"/>
  <c r="E204" i="20" l="1"/>
  <c r="I204" i="20"/>
  <c r="F204" i="20"/>
  <c r="J204" i="20"/>
  <c r="B205" i="20" s="1"/>
  <c r="D205" i="20" s="1"/>
  <c r="D204" i="20"/>
  <c r="G204" i="20"/>
  <c r="C204" i="20"/>
  <c r="J205" i="20" l="1"/>
  <c r="B206" i="20" s="1"/>
  <c r="J206" i="20" s="1"/>
  <c r="B207" i="20" s="1"/>
  <c r="I205" i="20"/>
  <c r="F205" i="20"/>
  <c r="H205" i="20"/>
  <c r="E205" i="20"/>
  <c r="G205" i="20"/>
  <c r="C205" i="20"/>
  <c r="D206" i="20" l="1"/>
  <c r="C206" i="20"/>
  <c r="I206" i="20"/>
  <c r="F206" i="20"/>
  <c r="E206" i="20"/>
  <c r="G206" i="20"/>
  <c r="H206" i="20"/>
  <c r="I207" i="20"/>
  <c r="F207" i="20"/>
  <c r="G207" i="20"/>
  <c r="C207" i="20"/>
  <c r="J207" i="20"/>
  <c r="B208" i="20" s="1"/>
  <c r="H207" i="20"/>
  <c r="D207" i="20"/>
  <c r="E207" i="20"/>
  <c r="J208" i="20" l="1"/>
  <c r="B209" i="20" s="1"/>
  <c r="H208" i="20"/>
  <c r="F208" i="20"/>
  <c r="C208" i="20"/>
  <c r="I208" i="20"/>
  <c r="G208" i="20"/>
  <c r="E208" i="20"/>
  <c r="D208" i="20"/>
  <c r="I209" i="20" l="1"/>
  <c r="J209" i="20"/>
  <c r="B210" i="20" s="1"/>
  <c r="D209" i="20"/>
  <c r="E209" i="20"/>
  <c r="H209" i="20"/>
  <c r="G209" i="20"/>
  <c r="F209" i="20"/>
  <c r="C209" i="20"/>
  <c r="J210" i="20" l="1"/>
  <c r="B211" i="20" s="1"/>
  <c r="F210" i="20"/>
  <c r="C210" i="20"/>
  <c r="H210" i="20"/>
  <c r="G210" i="20"/>
  <c r="E210" i="20"/>
  <c r="I210" i="20"/>
  <c r="D210" i="20"/>
  <c r="J211" i="20" l="1"/>
  <c r="B212" i="20" s="1"/>
  <c r="H211" i="20"/>
  <c r="D211" i="20"/>
  <c r="E211" i="20"/>
  <c r="I211" i="20"/>
  <c r="F211" i="20"/>
  <c r="G211" i="20"/>
  <c r="C211" i="20"/>
  <c r="J212" i="20" l="1"/>
  <c r="B213" i="20" s="1"/>
  <c r="H212" i="20"/>
  <c r="F212" i="20"/>
  <c r="C212" i="20"/>
  <c r="I212" i="20"/>
  <c r="G212" i="20"/>
  <c r="E212" i="20"/>
  <c r="D212" i="20"/>
  <c r="H213" i="20" l="1"/>
  <c r="G213" i="20"/>
  <c r="F213" i="20"/>
  <c r="C213" i="20"/>
  <c r="I213" i="20"/>
  <c r="J213" i="20"/>
  <c r="B214" i="20" s="1"/>
  <c r="D213" i="20"/>
  <c r="E213" i="20"/>
  <c r="J214" i="20" l="1"/>
  <c r="B215" i="20" s="1"/>
  <c r="F214" i="20"/>
  <c r="H214" i="20"/>
  <c r="C214" i="20"/>
  <c r="G214" i="20"/>
  <c r="I214" i="20"/>
  <c r="E214" i="20"/>
  <c r="D214" i="20"/>
  <c r="I215" i="20" l="1"/>
  <c r="F215" i="20"/>
  <c r="G215" i="20"/>
  <c r="C215" i="20"/>
  <c r="J215" i="20"/>
  <c r="B216" i="20" s="1"/>
  <c r="H215" i="20"/>
  <c r="D215" i="20"/>
  <c r="E215" i="20"/>
  <c r="J216" i="20" l="1"/>
  <c r="B217" i="20" s="1"/>
  <c r="H216" i="20"/>
  <c r="F216" i="20"/>
  <c r="C216" i="20"/>
  <c r="I216" i="20"/>
  <c r="G216" i="20"/>
  <c r="E216" i="20"/>
  <c r="D216" i="20"/>
  <c r="I217" i="20" l="1"/>
  <c r="J217" i="20"/>
  <c r="B218" i="20" s="1"/>
  <c r="D217" i="20"/>
  <c r="E217" i="20"/>
  <c r="H217" i="20"/>
  <c r="G217" i="20"/>
  <c r="F217" i="20"/>
  <c r="C217" i="20"/>
  <c r="J218" i="20" l="1"/>
  <c r="B219" i="20" s="1"/>
  <c r="F218" i="20"/>
  <c r="C218" i="20"/>
  <c r="H218" i="20"/>
  <c r="G218" i="20"/>
  <c r="E218" i="20"/>
  <c r="I218" i="20"/>
  <c r="D218" i="20"/>
  <c r="J219" i="20" l="1"/>
  <c r="B220" i="20" s="1"/>
  <c r="H219" i="20"/>
  <c r="D219" i="20"/>
  <c r="E219" i="20"/>
  <c r="I219" i="20"/>
  <c r="F219" i="20"/>
  <c r="G219" i="20"/>
  <c r="C219" i="20"/>
  <c r="J220" i="20" l="1"/>
  <c r="B221" i="20" s="1"/>
  <c r="H220" i="20"/>
  <c r="F220" i="20"/>
  <c r="C220" i="20"/>
  <c r="I220" i="20"/>
  <c r="G220" i="20"/>
  <c r="E220" i="20"/>
  <c r="D220" i="20"/>
  <c r="H221" i="20" l="1"/>
  <c r="D221" i="20"/>
  <c r="F221" i="20"/>
  <c r="C221" i="20"/>
  <c r="I221" i="20"/>
  <c r="G221" i="20"/>
  <c r="J221" i="20"/>
  <c r="B222" i="20" s="1"/>
  <c r="E221" i="20"/>
  <c r="J222" i="20" l="1"/>
  <c r="B223" i="20" s="1"/>
  <c r="F222" i="20"/>
  <c r="H222" i="20"/>
  <c r="C222" i="20"/>
  <c r="G222" i="20"/>
  <c r="I222" i="20"/>
  <c r="E222" i="20"/>
  <c r="D222" i="20"/>
  <c r="I223" i="20" l="1"/>
  <c r="F223" i="20"/>
  <c r="G223" i="20"/>
  <c r="C223" i="20"/>
  <c r="J223" i="20"/>
  <c r="B224" i="20" s="1"/>
  <c r="H223" i="20"/>
  <c r="D223" i="20"/>
  <c r="E223" i="20"/>
  <c r="J224" i="20" l="1"/>
  <c r="B225" i="20" s="1"/>
  <c r="H224" i="20"/>
  <c r="F224" i="20"/>
  <c r="C224" i="20"/>
  <c r="I224" i="20"/>
  <c r="G224" i="20"/>
  <c r="E224" i="20"/>
  <c r="D224" i="20"/>
  <c r="I225" i="20" l="1"/>
  <c r="J225" i="20"/>
  <c r="B226" i="20" s="1"/>
  <c r="D225" i="20"/>
  <c r="E225" i="20"/>
  <c r="H225" i="20"/>
  <c r="G225" i="20"/>
  <c r="F225" i="20"/>
  <c r="C225" i="20"/>
  <c r="J226" i="20" l="1"/>
  <c r="B227" i="20" s="1"/>
  <c r="F226" i="20"/>
  <c r="C226" i="20"/>
  <c r="H226" i="20"/>
  <c r="G226" i="20"/>
  <c r="E226" i="20"/>
  <c r="I226" i="20"/>
  <c r="D226" i="20"/>
  <c r="I227" i="20" l="1"/>
  <c r="F227" i="20"/>
  <c r="G227" i="20"/>
  <c r="C227" i="20"/>
  <c r="J227" i="20"/>
  <c r="B228" i="20" s="1"/>
  <c r="H227" i="20"/>
  <c r="D227" i="20"/>
  <c r="E227" i="20"/>
  <c r="J228" i="20" l="1"/>
  <c r="B229" i="20" s="1"/>
  <c r="H228" i="20"/>
  <c r="F228" i="20"/>
  <c r="C228" i="20"/>
  <c r="I228" i="20"/>
  <c r="G228" i="20"/>
  <c r="E228" i="20"/>
  <c r="D228" i="20"/>
  <c r="H229" i="20" l="1"/>
  <c r="G229" i="20"/>
  <c r="F229" i="20"/>
  <c r="C229" i="20"/>
  <c r="I229" i="20"/>
  <c r="J229" i="20"/>
  <c r="B230" i="20" s="1"/>
  <c r="D229" i="20"/>
  <c r="E229" i="20"/>
  <c r="J230" i="20" l="1"/>
  <c r="B231" i="20" s="1"/>
  <c r="F230" i="20"/>
  <c r="H230" i="20"/>
  <c r="C230" i="20"/>
  <c r="G230" i="20"/>
  <c r="I230" i="20"/>
  <c r="E230" i="20"/>
  <c r="D230" i="20"/>
  <c r="I231" i="20" l="1"/>
  <c r="F231" i="20"/>
  <c r="G231" i="20"/>
  <c r="C231" i="20"/>
  <c r="J231" i="20"/>
  <c r="B232" i="20" s="1"/>
  <c r="H231" i="20"/>
  <c r="D231" i="20"/>
  <c r="E231" i="20"/>
  <c r="J232" i="20" l="1"/>
  <c r="B233" i="20" s="1"/>
  <c r="H232" i="20"/>
  <c r="F232" i="20"/>
  <c r="C232" i="20"/>
  <c r="I232" i="20"/>
  <c r="G232" i="20"/>
  <c r="E232" i="20"/>
  <c r="D232" i="20"/>
  <c r="I233" i="20" l="1"/>
  <c r="J233" i="20"/>
  <c r="B234" i="20" s="1"/>
  <c r="D233" i="20"/>
  <c r="E233" i="20"/>
  <c r="H233" i="20"/>
  <c r="G233" i="20"/>
  <c r="F233" i="20"/>
  <c r="C233" i="20"/>
  <c r="J234" i="20" l="1"/>
  <c r="B235" i="20" s="1"/>
  <c r="F234" i="20"/>
  <c r="C234" i="20"/>
  <c r="H234" i="20"/>
  <c r="G234" i="20"/>
  <c r="E234" i="20"/>
  <c r="I234" i="20"/>
  <c r="D234" i="20"/>
  <c r="J235" i="20" l="1"/>
  <c r="B236" i="20" s="1"/>
  <c r="H235" i="20"/>
  <c r="D235" i="20"/>
  <c r="E235" i="20"/>
  <c r="I235" i="20"/>
  <c r="F235" i="20"/>
  <c r="G235" i="20"/>
  <c r="C235" i="20"/>
  <c r="J236" i="20" l="1"/>
  <c r="B237" i="20" s="1"/>
  <c r="H236" i="20"/>
  <c r="F236" i="20"/>
  <c r="C236" i="20"/>
  <c r="I236" i="20"/>
  <c r="G236" i="20"/>
  <c r="E236" i="20"/>
  <c r="D236" i="20"/>
  <c r="H237" i="20" l="1"/>
  <c r="D237" i="20"/>
  <c r="F237" i="20"/>
  <c r="C237" i="20"/>
  <c r="I237" i="20"/>
  <c r="G237" i="20"/>
  <c r="J237" i="20"/>
  <c r="B238" i="20" s="1"/>
  <c r="E237" i="20"/>
  <c r="J238" i="20" l="1"/>
  <c r="B239" i="20" s="1"/>
  <c r="F238" i="20"/>
  <c r="H238" i="20"/>
  <c r="C238" i="20"/>
  <c r="G238" i="20"/>
  <c r="I238" i="20"/>
  <c r="E238" i="20"/>
  <c r="D238" i="20"/>
  <c r="I239" i="20" l="1"/>
  <c r="F239" i="20"/>
  <c r="G239" i="20"/>
  <c r="C239" i="20"/>
  <c r="J239" i="20"/>
  <c r="B240" i="20" s="1"/>
  <c r="H239" i="20"/>
  <c r="D239" i="20"/>
  <c r="E239" i="20"/>
  <c r="J240" i="20" l="1"/>
  <c r="B241" i="20" s="1"/>
  <c r="H240" i="20"/>
  <c r="F240" i="20"/>
  <c r="C240" i="20"/>
  <c r="I240" i="20"/>
  <c r="G240" i="20"/>
  <c r="E240" i="20"/>
  <c r="D240" i="20"/>
  <c r="I241" i="20" l="1"/>
  <c r="J241" i="20"/>
  <c r="B242" i="20" s="1"/>
  <c r="D241" i="20"/>
  <c r="E241" i="20"/>
  <c r="H241" i="20"/>
  <c r="G241" i="20"/>
  <c r="F241" i="20"/>
  <c r="C241" i="20"/>
  <c r="J242" i="20" l="1"/>
  <c r="B243" i="20" s="1"/>
  <c r="F242" i="20"/>
  <c r="C242" i="20"/>
  <c r="H242" i="20"/>
  <c r="G242" i="20"/>
  <c r="E242" i="20"/>
  <c r="I242" i="20"/>
  <c r="D242" i="20"/>
  <c r="J243" i="20" l="1"/>
  <c r="B244" i="20" s="1"/>
  <c r="H243" i="20"/>
  <c r="D243" i="20"/>
  <c r="E243" i="20"/>
  <c r="I243" i="20"/>
  <c r="F243" i="20"/>
  <c r="G243" i="20"/>
  <c r="C243" i="20"/>
  <c r="J244" i="20" l="1"/>
  <c r="B245" i="20" s="1"/>
  <c r="H244" i="20"/>
  <c r="F244" i="20"/>
  <c r="C244" i="20"/>
  <c r="I244" i="20"/>
  <c r="G244" i="20"/>
  <c r="E244" i="20"/>
  <c r="D244" i="20"/>
  <c r="H245" i="20" l="1"/>
  <c r="G245" i="20"/>
  <c r="F245" i="20"/>
  <c r="C245" i="20"/>
  <c r="I245" i="20"/>
  <c r="J245" i="20"/>
  <c r="B246" i="20" s="1"/>
  <c r="D245" i="20"/>
  <c r="E245" i="20"/>
  <c r="J246" i="20" l="1"/>
  <c r="B247" i="20" s="1"/>
  <c r="F246" i="20"/>
  <c r="H246" i="20"/>
  <c r="C246" i="20"/>
  <c r="G246" i="20"/>
  <c r="I246" i="20"/>
  <c r="E246" i="20"/>
  <c r="D246" i="20"/>
  <c r="I247" i="20" l="1"/>
  <c r="F247" i="20"/>
  <c r="G247" i="20"/>
  <c r="C247" i="20"/>
  <c r="J247" i="20"/>
  <c r="B248" i="20" s="1"/>
  <c r="H247" i="20"/>
  <c r="D247" i="20"/>
  <c r="E247" i="20"/>
  <c r="J248" i="20" l="1"/>
  <c r="B249" i="20" s="1"/>
  <c r="H248" i="20"/>
  <c r="F248" i="20"/>
  <c r="C248" i="20"/>
  <c r="I248" i="20"/>
  <c r="G248" i="20"/>
  <c r="E248" i="20"/>
  <c r="D248" i="20"/>
  <c r="I249" i="20" l="1"/>
  <c r="G249" i="20"/>
  <c r="H249" i="20"/>
  <c r="E249" i="20"/>
  <c r="J249" i="20"/>
  <c r="B250" i="20" s="1"/>
  <c r="D249" i="20"/>
  <c r="F249" i="20"/>
  <c r="C249" i="20"/>
  <c r="J250" i="20" l="1"/>
  <c r="B251" i="20" s="1"/>
  <c r="G250" i="20"/>
  <c r="E250" i="20"/>
  <c r="I250" i="20"/>
  <c r="H250" i="20"/>
  <c r="F250" i="20"/>
  <c r="C250" i="20"/>
  <c r="D250" i="20"/>
  <c r="J251" i="20" l="1"/>
  <c r="B252" i="20" s="1"/>
  <c r="H251" i="20"/>
  <c r="D251" i="20"/>
  <c r="E251" i="20"/>
  <c r="I251" i="20"/>
  <c r="F251" i="20"/>
  <c r="G251" i="20"/>
  <c r="C251" i="20"/>
  <c r="J252" i="20" l="1"/>
  <c r="B253" i="20" s="1"/>
  <c r="H252" i="20"/>
  <c r="F252" i="20"/>
  <c r="C252" i="20"/>
  <c r="I252" i="20"/>
  <c r="G252" i="20"/>
  <c r="E252" i="20"/>
  <c r="D252" i="20"/>
  <c r="G253" i="20" l="1"/>
  <c r="J253" i="20"/>
  <c r="B254" i="20" s="1"/>
  <c r="F253" i="20"/>
  <c r="C253" i="20"/>
  <c r="I253" i="20"/>
  <c r="D253" i="20"/>
  <c r="H253" i="20"/>
  <c r="E253" i="20"/>
  <c r="J254" i="20" l="1"/>
  <c r="B255" i="20" s="1"/>
  <c r="G254" i="20"/>
  <c r="I254" i="20"/>
  <c r="C254" i="20"/>
  <c r="H254" i="20"/>
  <c r="F254" i="20"/>
  <c r="E254" i="20"/>
  <c r="D254" i="20"/>
  <c r="J255" i="20" l="1"/>
  <c r="B256" i="20" s="1"/>
  <c r="H255" i="20"/>
  <c r="D255" i="20"/>
  <c r="E255" i="20"/>
  <c r="I255" i="20"/>
  <c r="F255" i="20"/>
  <c r="G255" i="20"/>
  <c r="C255" i="20"/>
  <c r="J256" i="20" l="1"/>
  <c r="B257" i="20" s="1"/>
  <c r="H256" i="20"/>
  <c r="F256" i="20"/>
  <c r="C256" i="20"/>
  <c r="I256" i="20"/>
  <c r="G256" i="20"/>
  <c r="E256" i="20"/>
  <c r="D256" i="20"/>
  <c r="I257" i="20" l="1"/>
  <c r="G257" i="20"/>
  <c r="H257" i="20"/>
  <c r="E257" i="20"/>
  <c r="J257" i="20"/>
  <c r="B258" i="20" s="1"/>
  <c r="D257" i="20"/>
  <c r="F257" i="20"/>
  <c r="C257" i="20"/>
  <c r="H258" i="20" l="1"/>
  <c r="F258" i="20"/>
  <c r="C258" i="20"/>
  <c r="D258" i="20"/>
  <c r="J258" i="20"/>
  <c r="B259" i="20" s="1"/>
  <c r="G258" i="20"/>
  <c r="E258" i="20"/>
  <c r="I258" i="20"/>
  <c r="I259" i="20" l="1"/>
  <c r="F259" i="20"/>
  <c r="G259" i="20"/>
  <c r="C259" i="20"/>
  <c r="J259" i="20"/>
  <c r="B260" i="20" s="1"/>
  <c r="H259" i="20"/>
  <c r="D259" i="20"/>
  <c r="E259" i="20"/>
  <c r="I260" i="20" l="1"/>
  <c r="G260" i="20"/>
  <c r="E260" i="20"/>
  <c r="D260" i="20"/>
  <c r="J260" i="20"/>
  <c r="B261" i="20" s="1"/>
  <c r="H260" i="20"/>
  <c r="F260" i="20"/>
  <c r="C260" i="20"/>
  <c r="J261" i="20" l="1"/>
  <c r="B262" i="20" s="1"/>
  <c r="D261" i="20"/>
  <c r="F261" i="20"/>
  <c r="C261" i="20"/>
  <c r="I261" i="20"/>
  <c r="G261" i="20"/>
  <c r="H261" i="20"/>
  <c r="E261" i="20"/>
  <c r="H262" i="20" l="1"/>
  <c r="F262" i="20"/>
  <c r="E262" i="20"/>
  <c r="D262" i="20"/>
  <c r="J262" i="20"/>
  <c r="B263" i="20" s="1"/>
  <c r="G262" i="20"/>
  <c r="I262" i="20"/>
  <c r="C262" i="20"/>
  <c r="I263" i="20" l="1"/>
  <c r="F263" i="20"/>
  <c r="G263" i="20"/>
  <c r="C263" i="20"/>
  <c r="J263" i="20"/>
  <c r="B264" i="20" s="1"/>
  <c r="H263" i="20"/>
  <c r="D263" i="20"/>
  <c r="E263" i="20"/>
  <c r="I264" i="20" l="1"/>
  <c r="G264" i="20"/>
  <c r="E264" i="20"/>
  <c r="D264" i="20"/>
  <c r="J264" i="20"/>
  <c r="B265" i="20" s="1"/>
  <c r="H264" i="20"/>
  <c r="F264" i="20"/>
  <c r="C264" i="20"/>
  <c r="J265" i="20" l="1"/>
  <c r="B266" i="20" s="1"/>
  <c r="D265" i="20"/>
  <c r="F265" i="20"/>
  <c r="C265" i="20"/>
  <c r="I265" i="20"/>
  <c r="G265" i="20"/>
  <c r="H265" i="20"/>
  <c r="E265" i="20"/>
  <c r="H266" i="20" l="1"/>
  <c r="F266" i="20"/>
  <c r="C266" i="20"/>
  <c r="D266" i="20"/>
  <c r="J266" i="20"/>
  <c r="B267" i="20" s="1"/>
  <c r="G266" i="20"/>
  <c r="E266" i="20"/>
  <c r="I266" i="20"/>
  <c r="I267" i="20" l="1"/>
  <c r="F267" i="20"/>
  <c r="G267" i="20"/>
  <c r="C267" i="20"/>
  <c r="J267" i="20"/>
  <c r="B268" i="20" s="1"/>
  <c r="H267" i="20"/>
  <c r="D267" i="20"/>
  <c r="E267" i="20"/>
  <c r="I268" i="20" l="1"/>
  <c r="G268" i="20"/>
  <c r="E268" i="20"/>
  <c r="D268" i="20"/>
  <c r="J268" i="20"/>
  <c r="B269" i="20" s="1"/>
  <c r="H268" i="20"/>
  <c r="F268" i="20"/>
  <c r="C268" i="20"/>
  <c r="G269" i="20" l="1"/>
  <c r="J269" i="20"/>
  <c r="B270" i="20" s="1"/>
  <c r="F269" i="20"/>
  <c r="C269" i="20"/>
  <c r="I269" i="20"/>
  <c r="D269" i="20"/>
  <c r="H269" i="20"/>
  <c r="E269" i="20"/>
  <c r="H270" i="20" l="1"/>
  <c r="F270" i="20"/>
  <c r="E270" i="20"/>
  <c r="D270" i="20"/>
  <c r="J270" i="20"/>
  <c r="B271" i="20" s="1"/>
  <c r="G270" i="20"/>
  <c r="I270" i="20"/>
  <c r="C270" i="20"/>
  <c r="I271" i="20" l="1"/>
  <c r="F271" i="20"/>
  <c r="G271" i="20"/>
  <c r="C271" i="20"/>
  <c r="J271" i="20"/>
  <c r="B272" i="20" s="1"/>
  <c r="H271" i="20"/>
  <c r="D271" i="20"/>
  <c r="E271" i="20"/>
  <c r="I272" i="20" l="1"/>
  <c r="G272" i="20"/>
  <c r="E272" i="20"/>
  <c r="D272" i="20"/>
  <c r="J272" i="20"/>
  <c r="B273" i="20" s="1"/>
  <c r="H272" i="20"/>
  <c r="F272" i="20"/>
  <c r="C272" i="20"/>
  <c r="J273" i="20" l="1"/>
  <c r="B274" i="20" s="1"/>
  <c r="D273" i="20"/>
  <c r="F273" i="20"/>
  <c r="C273" i="20"/>
  <c r="I273" i="20"/>
  <c r="G273" i="20"/>
  <c r="H273" i="20"/>
  <c r="E273" i="20"/>
  <c r="H274" i="20" l="1"/>
  <c r="F274" i="20"/>
  <c r="C274" i="20"/>
  <c r="D274" i="20"/>
  <c r="J274" i="20"/>
  <c r="B275" i="20" s="1"/>
  <c r="G274" i="20"/>
  <c r="E274" i="20"/>
  <c r="I274" i="20"/>
  <c r="I275" i="20" l="1"/>
  <c r="F275" i="20"/>
  <c r="G275" i="20"/>
  <c r="C275" i="20"/>
  <c r="J275" i="20"/>
  <c r="B276" i="20" s="1"/>
  <c r="H275" i="20"/>
  <c r="D275" i="20"/>
  <c r="E275" i="20"/>
  <c r="I276" i="20" l="1"/>
  <c r="G276" i="20"/>
  <c r="E276" i="20"/>
  <c r="D276" i="20"/>
  <c r="J276" i="20"/>
  <c r="B277" i="20" s="1"/>
  <c r="H276" i="20"/>
  <c r="F276" i="20"/>
  <c r="C276" i="20"/>
  <c r="J277" i="20" l="1"/>
  <c r="B278" i="20" s="1"/>
  <c r="D277" i="20"/>
  <c r="F277" i="20"/>
  <c r="C277" i="20"/>
  <c r="I277" i="20"/>
  <c r="G277" i="20"/>
  <c r="H277" i="20"/>
  <c r="E277" i="20"/>
  <c r="H278" i="20" l="1"/>
  <c r="F278" i="20"/>
  <c r="E278" i="20"/>
  <c r="D278" i="20"/>
  <c r="J278" i="20"/>
  <c r="B279" i="20" s="1"/>
  <c r="G278" i="20"/>
  <c r="I278" i="20"/>
  <c r="C278" i="20"/>
  <c r="I279" i="20" l="1"/>
  <c r="F279" i="20"/>
  <c r="G279" i="20"/>
  <c r="C279" i="20"/>
  <c r="J279" i="20"/>
  <c r="B280" i="20" s="1"/>
  <c r="H279" i="20"/>
  <c r="D279" i="20"/>
  <c r="E279" i="20"/>
  <c r="I280" i="20" l="1"/>
  <c r="G280" i="20"/>
  <c r="E280" i="20"/>
  <c r="D280" i="20"/>
  <c r="J280" i="20"/>
  <c r="B281" i="20" s="1"/>
  <c r="H280" i="20"/>
  <c r="F280" i="20"/>
  <c r="C280" i="20"/>
  <c r="J281" i="20" l="1"/>
  <c r="B282" i="20" s="1"/>
  <c r="D281" i="20"/>
  <c r="F281" i="20"/>
  <c r="C281" i="20"/>
  <c r="I281" i="20"/>
  <c r="G281" i="20"/>
  <c r="H281" i="20"/>
  <c r="E281" i="20"/>
  <c r="H282" i="20" l="1"/>
  <c r="F282" i="20"/>
  <c r="C282" i="20"/>
  <c r="D282" i="20"/>
  <c r="J282" i="20"/>
  <c r="B283" i="20" s="1"/>
  <c r="G282" i="20"/>
  <c r="E282" i="20"/>
  <c r="I282" i="20"/>
  <c r="I283" i="20" l="1"/>
  <c r="F283" i="20"/>
  <c r="G283" i="20"/>
  <c r="C283" i="20"/>
  <c r="J283" i="20"/>
  <c r="B284" i="20" s="1"/>
  <c r="H283" i="20"/>
  <c r="D283" i="20"/>
  <c r="E283" i="20"/>
  <c r="I284" i="20" l="1"/>
  <c r="G284" i="20"/>
  <c r="E284" i="20"/>
  <c r="D284" i="20"/>
  <c r="J284" i="20"/>
  <c r="B285" i="20" s="1"/>
  <c r="H284" i="20"/>
  <c r="F284" i="20"/>
  <c r="C284" i="20"/>
  <c r="G285" i="20" l="1"/>
  <c r="J285" i="20"/>
  <c r="B286" i="20" s="1"/>
  <c r="F285" i="20"/>
  <c r="C285" i="20"/>
  <c r="I285" i="20"/>
  <c r="D285" i="20"/>
  <c r="H285" i="20"/>
  <c r="E285" i="20"/>
  <c r="H286" i="20" l="1"/>
  <c r="F286" i="20"/>
  <c r="E286" i="20"/>
  <c r="D286" i="20"/>
  <c r="J286" i="20"/>
  <c r="B287" i="20" s="1"/>
  <c r="G286" i="20"/>
  <c r="I286" i="20"/>
  <c r="C286" i="20"/>
  <c r="I287" i="20" l="1"/>
  <c r="F287" i="20"/>
  <c r="G287" i="20"/>
  <c r="C287" i="20"/>
  <c r="J287" i="20"/>
  <c r="B288" i="20" s="1"/>
  <c r="H287" i="20"/>
  <c r="D287" i="20"/>
  <c r="E287" i="20"/>
  <c r="I288" i="20" l="1"/>
  <c r="G288" i="20"/>
  <c r="E288" i="20"/>
  <c r="D288" i="20"/>
  <c r="J288" i="20"/>
  <c r="B289" i="20" s="1"/>
  <c r="H288" i="20"/>
  <c r="F288" i="20"/>
  <c r="C288" i="20"/>
  <c r="J289" i="20" l="1"/>
  <c r="B290" i="20" s="1"/>
  <c r="D289" i="20"/>
  <c r="F289" i="20"/>
  <c r="C289" i="20"/>
  <c r="I289" i="20"/>
  <c r="G289" i="20"/>
  <c r="H289" i="20"/>
  <c r="E289" i="20"/>
  <c r="H290" i="20" l="1"/>
  <c r="F290" i="20"/>
  <c r="C290" i="20"/>
  <c r="D290" i="20"/>
  <c r="J290" i="20"/>
  <c r="B291" i="20" s="1"/>
  <c r="G290" i="20"/>
  <c r="E290" i="20"/>
  <c r="I290" i="20"/>
  <c r="I291" i="20" l="1"/>
  <c r="F291" i="20"/>
  <c r="G291" i="20"/>
  <c r="C291" i="20"/>
  <c r="J291" i="20"/>
  <c r="B292" i="20" s="1"/>
  <c r="H291" i="20"/>
  <c r="D291" i="20"/>
  <c r="E291" i="20"/>
  <c r="I292" i="20" l="1"/>
  <c r="G292" i="20"/>
  <c r="E292" i="20"/>
  <c r="D292" i="20"/>
  <c r="J292" i="20"/>
  <c r="B293" i="20" s="1"/>
  <c r="H292" i="20"/>
  <c r="F292" i="20"/>
  <c r="C292" i="20"/>
  <c r="J293" i="20" l="1"/>
  <c r="B294" i="20" s="1"/>
  <c r="D293" i="20"/>
  <c r="F293" i="20"/>
  <c r="C293" i="20"/>
  <c r="I293" i="20"/>
  <c r="G293" i="20"/>
  <c r="H293" i="20"/>
  <c r="E293" i="20"/>
  <c r="H294" i="20" l="1"/>
  <c r="F294" i="20"/>
  <c r="E294" i="20"/>
  <c r="D294" i="20"/>
  <c r="J294" i="20"/>
  <c r="B295" i="20" s="1"/>
  <c r="G294" i="20"/>
  <c r="I294" i="20"/>
  <c r="C294" i="20"/>
  <c r="I295" i="20" l="1"/>
  <c r="F295" i="20"/>
  <c r="G295" i="20"/>
  <c r="C295" i="20"/>
  <c r="J295" i="20"/>
  <c r="B296" i="20" s="1"/>
  <c r="H295" i="20"/>
  <c r="D295" i="20"/>
  <c r="E295" i="20"/>
  <c r="I296" i="20" l="1"/>
  <c r="G296" i="20"/>
  <c r="E296" i="20"/>
  <c r="D296" i="20"/>
  <c r="J296" i="20"/>
  <c r="B297" i="20" s="1"/>
  <c r="H296" i="20"/>
  <c r="F296" i="20"/>
  <c r="C296" i="20"/>
  <c r="J297" i="20" l="1"/>
  <c r="B298" i="20" s="1"/>
  <c r="D297" i="20"/>
  <c r="F297" i="20"/>
  <c r="C297" i="20"/>
  <c r="I297" i="20"/>
  <c r="G297" i="20"/>
  <c r="H297" i="20"/>
  <c r="E297" i="20"/>
  <c r="H298" i="20" l="1"/>
  <c r="F298" i="20"/>
  <c r="C298" i="20"/>
  <c r="D298" i="20"/>
  <c r="J298" i="20"/>
  <c r="B299" i="20" s="1"/>
  <c r="G298" i="20"/>
  <c r="E298" i="20"/>
  <c r="I298" i="20"/>
  <c r="I299" i="20" l="1"/>
  <c r="F299" i="20"/>
  <c r="G299" i="20"/>
  <c r="C299" i="20"/>
  <c r="J299" i="20"/>
  <c r="B300" i="20" s="1"/>
  <c r="H299" i="20"/>
  <c r="D299" i="20"/>
  <c r="E299" i="20"/>
  <c r="I300" i="20" l="1"/>
  <c r="G300" i="20"/>
  <c r="E300" i="20"/>
  <c r="D300" i="20"/>
  <c r="J300" i="20"/>
  <c r="B301" i="20" s="1"/>
  <c r="H300" i="20"/>
  <c r="F300" i="20"/>
  <c r="C300" i="20"/>
  <c r="G301" i="20" l="1"/>
  <c r="J301" i="20"/>
  <c r="B302" i="20" s="1"/>
  <c r="F301" i="20"/>
  <c r="C301" i="20"/>
  <c r="I301" i="20"/>
  <c r="D301" i="20"/>
  <c r="H301" i="20"/>
  <c r="E301" i="20"/>
  <c r="H302" i="20" l="1"/>
  <c r="F302" i="20"/>
  <c r="E302" i="20"/>
  <c r="D302" i="20"/>
  <c r="J302" i="20"/>
  <c r="B303" i="20" s="1"/>
  <c r="G302" i="20"/>
  <c r="I302" i="20"/>
  <c r="C302" i="20"/>
  <c r="I303" i="20" l="1"/>
  <c r="F303" i="20"/>
  <c r="G303" i="20"/>
  <c r="C303" i="20"/>
  <c r="J303" i="20"/>
  <c r="B304" i="20" s="1"/>
  <c r="H303" i="20"/>
  <c r="D303" i="20"/>
  <c r="E303" i="20"/>
  <c r="I304" i="20" l="1"/>
  <c r="G304" i="20"/>
  <c r="E304" i="20"/>
  <c r="D304" i="20"/>
  <c r="J304" i="20"/>
  <c r="B305" i="20" s="1"/>
  <c r="H304" i="20"/>
  <c r="F304" i="20"/>
  <c r="C304" i="20"/>
  <c r="J305" i="20" l="1"/>
  <c r="B306" i="20" s="1"/>
  <c r="D305" i="20"/>
  <c r="F305" i="20"/>
  <c r="C305" i="20"/>
  <c r="I305" i="20"/>
  <c r="G305" i="20"/>
  <c r="H305" i="20"/>
  <c r="E305" i="20"/>
  <c r="H306" i="20" l="1"/>
  <c r="F306" i="20"/>
  <c r="C306" i="20"/>
  <c r="D306" i="20"/>
  <c r="J306" i="20"/>
  <c r="B307" i="20" s="1"/>
  <c r="G306" i="20"/>
  <c r="E306" i="20"/>
  <c r="I306" i="20"/>
  <c r="I307" i="20" l="1"/>
  <c r="F307" i="20"/>
  <c r="G307" i="20"/>
  <c r="C307" i="20"/>
  <c r="J307" i="20"/>
  <c r="B308" i="20" s="1"/>
  <c r="H307" i="20"/>
  <c r="D307" i="20"/>
  <c r="E307" i="20"/>
  <c r="I308" i="20" l="1"/>
  <c r="G308" i="20"/>
  <c r="E308" i="20"/>
  <c r="D308" i="20"/>
  <c r="J308" i="20"/>
  <c r="B309" i="20" s="1"/>
  <c r="H308" i="20"/>
  <c r="F308" i="20"/>
  <c r="C308" i="20"/>
  <c r="J309" i="20" l="1"/>
  <c r="B310" i="20" s="1"/>
  <c r="D309" i="20"/>
  <c r="F309" i="20"/>
  <c r="C309" i="20"/>
  <c r="I309" i="20"/>
  <c r="G309" i="20"/>
  <c r="H309" i="20"/>
  <c r="E309" i="20"/>
  <c r="J310" i="20" l="1"/>
  <c r="B311" i="20" s="1"/>
  <c r="G310" i="20"/>
  <c r="I310" i="20"/>
  <c r="C310" i="20"/>
  <c r="H310" i="20"/>
  <c r="F310" i="20"/>
  <c r="E310" i="20"/>
  <c r="D310" i="20"/>
  <c r="I311" i="20" l="1"/>
  <c r="F311" i="20"/>
  <c r="G311" i="20"/>
  <c r="C311" i="20"/>
  <c r="J311" i="20"/>
  <c r="B312" i="20" s="1"/>
  <c r="H311" i="20"/>
  <c r="D311" i="20"/>
  <c r="E311" i="20"/>
  <c r="J312" i="20" l="1"/>
  <c r="B313" i="20" s="1"/>
  <c r="H312" i="20"/>
  <c r="F312" i="20"/>
  <c r="C312" i="20"/>
  <c r="I312" i="20"/>
  <c r="G312" i="20"/>
  <c r="E312" i="20"/>
  <c r="D312" i="20"/>
  <c r="J313" i="20" l="1"/>
  <c r="B314" i="20" s="1"/>
  <c r="D313" i="20"/>
  <c r="F313" i="20"/>
  <c r="C313" i="20"/>
  <c r="I313" i="20"/>
  <c r="G313" i="20"/>
  <c r="H313" i="20"/>
  <c r="E313" i="20"/>
  <c r="H314" i="20" l="1"/>
  <c r="F314" i="20"/>
  <c r="C314" i="20"/>
  <c r="D314" i="20"/>
  <c r="J314" i="20"/>
  <c r="B315" i="20" s="1"/>
  <c r="G314" i="20"/>
  <c r="E314" i="20"/>
  <c r="I314" i="20"/>
  <c r="I315" i="20" l="1"/>
  <c r="F315" i="20"/>
  <c r="G315" i="20"/>
  <c r="C315" i="20"/>
  <c r="J315" i="20"/>
  <c r="B316" i="20" s="1"/>
  <c r="H315" i="20"/>
  <c r="D315" i="20"/>
  <c r="E315" i="20"/>
  <c r="I316" i="20" l="1"/>
  <c r="G316" i="20"/>
  <c r="E316" i="20"/>
  <c r="D316" i="20"/>
  <c r="J316" i="20"/>
  <c r="B317" i="20" s="1"/>
  <c r="H316" i="20"/>
  <c r="F316" i="20"/>
  <c r="C316" i="20"/>
  <c r="G317" i="20" l="1"/>
  <c r="J317" i="20"/>
  <c r="B318" i="20" s="1"/>
  <c r="F317" i="20"/>
  <c r="C317" i="20"/>
  <c r="I317" i="20"/>
  <c r="D317" i="20"/>
  <c r="H317" i="20"/>
  <c r="E317" i="20"/>
  <c r="H318" i="20" l="1"/>
  <c r="F318" i="20"/>
  <c r="E318" i="20"/>
  <c r="D318" i="20"/>
  <c r="J318" i="20"/>
  <c r="B319" i="20" s="1"/>
  <c r="G318" i="20"/>
  <c r="I318" i="20"/>
  <c r="C318" i="20"/>
  <c r="I319" i="20" l="1"/>
  <c r="F319" i="20"/>
  <c r="G319" i="20"/>
  <c r="C319" i="20"/>
  <c r="J319" i="20"/>
  <c r="B320" i="20" s="1"/>
  <c r="H319" i="20"/>
  <c r="D319" i="20"/>
  <c r="E319" i="20"/>
  <c r="J320" i="20" l="1"/>
  <c r="B321" i="20" s="1"/>
  <c r="H320" i="20"/>
  <c r="F320" i="20"/>
  <c r="C320" i="20"/>
  <c r="I320" i="20"/>
  <c r="G320" i="20"/>
  <c r="E320" i="20"/>
  <c r="D320" i="20"/>
  <c r="J321" i="20" l="1"/>
  <c r="B322" i="20" s="1"/>
  <c r="D321" i="20"/>
  <c r="F321" i="20"/>
  <c r="C321" i="20"/>
  <c r="I321" i="20"/>
  <c r="G321" i="20"/>
  <c r="H321" i="20"/>
  <c r="E321" i="20"/>
  <c r="H322" i="20" l="1"/>
  <c r="F322" i="20"/>
  <c r="C322" i="20"/>
  <c r="D322" i="20"/>
  <c r="J322" i="20"/>
  <c r="B323" i="20" s="1"/>
  <c r="G322" i="20"/>
  <c r="E322" i="20"/>
  <c r="I322" i="20"/>
  <c r="I323" i="20" l="1"/>
  <c r="F323" i="20"/>
  <c r="G323" i="20"/>
  <c r="C323" i="20"/>
  <c r="J323" i="20"/>
  <c r="B324" i="20" s="1"/>
  <c r="H323" i="20"/>
  <c r="D323" i="20"/>
  <c r="E323" i="20"/>
  <c r="I324" i="20" l="1"/>
  <c r="G324" i="20"/>
  <c r="E324" i="20"/>
  <c r="D324" i="20"/>
  <c r="J324" i="20"/>
  <c r="B325" i="20" s="1"/>
  <c r="H324" i="20"/>
  <c r="F324" i="20"/>
  <c r="C324" i="20"/>
  <c r="J325" i="20" l="1"/>
  <c r="B326" i="20" s="1"/>
  <c r="D325" i="20"/>
  <c r="F325" i="20"/>
  <c r="C325" i="20"/>
  <c r="I325" i="20"/>
  <c r="G325" i="20"/>
  <c r="H325" i="20"/>
  <c r="E325" i="20"/>
  <c r="H326" i="20" l="1"/>
  <c r="F326" i="20"/>
  <c r="E326" i="20"/>
  <c r="D326" i="20"/>
  <c r="J326" i="20"/>
  <c r="B327" i="20" s="1"/>
  <c r="G326" i="20"/>
  <c r="I326" i="20"/>
  <c r="C326" i="20"/>
  <c r="I327" i="20" l="1"/>
  <c r="F327" i="20"/>
  <c r="G327" i="20"/>
  <c r="C327" i="20"/>
  <c r="J327" i="20"/>
  <c r="B328" i="20" s="1"/>
  <c r="H327" i="20"/>
  <c r="D327" i="20"/>
  <c r="E327" i="20"/>
  <c r="J328" i="20" l="1"/>
  <c r="B329" i="20" s="1"/>
  <c r="H328" i="20"/>
  <c r="F328" i="20"/>
  <c r="C328" i="20"/>
  <c r="I328" i="20"/>
  <c r="G328" i="20"/>
  <c r="E328" i="20"/>
  <c r="D328" i="20"/>
  <c r="I329" i="20" l="1"/>
  <c r="G329" i="20"/>
  <c r="H329" i="20"/>
  <c r="E329" i="20"/>
  <c r="J329" i="20"/>
  <c r="B330" i="20" s="1"/>
  <c r="D329" i="20"/>
  <c r="F329" i="20"/>
  <c r="C329" i="20"/>
  <c r="H330" i="20" l="1"/>
  <c r="F330" i="20"/>
  <c r="C330" i="20"/>
  <c r="D330" i="20"/>
  <c r="J330" i="20"/>
  <c r="B331" i="20" s="1"/>
  <c r="G330" i="20"/>
  <c r="E330" i="20"/>
  <c r="I330" i="20"/>
  <c r="J331" i="20" l="1"/>
  <c r="B332" i="20" s="1"/>
  <c r="H331" i="20"/>
  <c r="D331" i="20"/>
  <c r="E331" i="20"/>
  <c r="I331" i="20"/>
  <c r="F331" i="20"/>
  <c r="G331" i="20"/>
  <c r="C331" i="20"/>
  <c r="J332" i="20" l="1"/>
  <c r="B333" i="20" s="1"/>
  <c r="H332" i="20"/>
  <c r="F332" i="20"/>
  <c r="C332" i="20"/>
  <c r="I332" i="20"/>
  <c r="G332" i="20"/>
  <c r="E332" i="20"/>
  <c r="D332" i="20"/>
  <c r="I333" i="20" l="1"/>
  <c r="D333" i="20"/>
  <c r="H333" i="20"/>
  <c r="E333" i="20"/>
  <c r="G333" i="20"/>
  <c r="J333" i="20"/>
  <c r="B334" i="20" s="1"/>
  <c r="F333" i="20"/>
  <c r="C333" i="20"/>
  <c r="J334" i="20" l="1"/>
  <c r="B335" i="20" s="1"/>
  <c r="G334" i="20"/>
  <c r="I334" i="20"/>
  <c r="C334" i="20"/>
  <c r="H334" i="20"/>
  <c r="F334" i="20"/>
  <c r="E334" i="20"/>
  <c r="D334" i="20"/>
  <c r="J335" i="20" l="1"/>
  <c r="B336" i="20" s="1"/>
  <c r="H335" i="20"/>
  <c r="D335" i="20"/>
  <c r="E335" i="20"/>
  <c r="I335" i="20"/>
  <c r="F335" i="20"/>
  <c r="G335" i="20"/>
  <c r="C335" i="20"/>
  <c r="J336" i="20" l="1"/>
  <c r="B337" i="20" s="1"/>
  <c r="H336" i="20"/>
  <c r="F336" i="20"/>
  <c r="C336" i="20"/>
  <c r="I336" i="20"/>
  <c r="G336" i="20"/>
  <c r="E336" i="20"/>
  <c r="D336" i="20"/>
  <c r="I337" i="20" l="1"/>
  <c r="G337" i="20"/>
  <c r="H337" i="20"/>
  <c r="E337" i="20"/>
  <c r="J337" i="20"/>
  <c r="B338" i="20" s="1"/>
  <c r="D337" i="20"/>
  <c r="F337" i="20"/>
  <c r="C337" i="20"/>
  <c r="J338" i="20" l="1"/>
  <c r="B339" i="20" s="1"/>
  <c r="G338" i="20"/>
  <c r="E338" i="20"/>
  <c r="I338" i="20"/>
  <c r="H338" i="20"/>
  <c r="F338" i="20"/>
  <c r="C338" i="20"/>
  <c r="D338" i="20"/>
  <c r="I339" i="20" l="1"/>
  <c r="F339" i="20"/>
  <c r="G339" i="20"/>
  <c r="C339" i="20"/>
  <c r="J339" i="20"/>
  <c r="B340" i="20" s="1"/>
  <c r="H339" i="20"/>
  <c r="D339" i="20"/>
  <c r="E339" i="20"/>
  <c r="C340" i="20" l="1"/>
  <c r="I340" i="20"/>
  <c r="G340" i="20"/>
  <c r="E340" i="20"/>
  <c r="D340" i="20"/>
  <c r="J340" i="20"/>
  <c r="B341" i="20" s="1"/>
  <c r="H340" i="20"/>
  <c r="F340" i="20"/>
  <c r="J341" i="20" l="1"/>
  <c r="B342" i="20" s="1"/>
  <c r="D341" i="20"/>
  <c r="F341" i="20"/>
  <c r="C341" i="20"/>
  <c r="I341" i="20"/>
  <c r="G341" i="20"/>
  <c r="H341" i="20"/>
  <c r="E341" i="20"/>
  <c r="J342" i="20" l="1"/>
  <c r="B343" i="20" s="1"/>
  <c r="G342" i="20"/>
  <c r="I342" i="20"/>
  <c r="C342" i="20"/>
  <c r="H342" i="20"/>
  <c r="F342" i="20"/>
  <c r="E342" i="20"/>
  <c r="D342" i="20"/>
  <c r="I343" i="20" l="1"/>
  <c r="F343" i="20"/>
  <c r="G343" i="20"/>
  <c r="C343" i="20"/>
  <c r="J343" i="20"/>
  <c r="B344" i="20" s="1"/>
  <c r="H343" i="20"/>
  <c r="D343" i="20"/>
  <c r="E343" i="20"/>
  <c r="I344" i="20" l="1"/>
  <c r="J344" i="20"/>
  <c r="H344" i="20"/>
  <c r="F344" i="20"/>
  <c r="C344" i="20"/>
  <c r="B345" i="20"/>
  <c r="G344" i="20"/>
  <c r="E344" i="20"/>
  <c r="D344" i="20"/>
  <c r="I345" i="20" l="1"/>
  <c r="J345" i="20"/>
  <c r="B346" i="20" s="1"/>
  <c r="D345" i="20"/>
  <c r="F345" i="20"/>
  <c r="C345" i="20"/>
  <c r="G345" i="20"/>
  <c r="H345" i="20"/>
  <c r="E345" i="20"/>
  <c r="J346" i="20" l="1"/>
  <c r="B347" i="20" s="1"/>
  <c r="G346" i="20"/>
  <c r="E346" i="20"/>
  <c r="I346" i="20"/>
  <c r="H346" i="20"/>
  <c r="F346" i="20"/>
  <c r="C346" i="20"/>
  <c r="D346" i="20"/>
  <c r="J347" i="20" l="1"/>
  <c r="B348" i="20" s="1"/>
  <c r="H347" i="20"/>
  <c r="D347" i="20"/>
  <c r="E347" i="20"/>
  <c r="I347" i="20"/>
  <c r="F347" i="20"/>
  <c r="G347" i="20"/>
  <c r="C347" i="20"/>
  <c r="J348" i="20" l="1"/>
  <c r="B349" i="20" s="1"/>
  <c r="H348" i="20"/>
  <c r="F348" i="20"/>
  <c r="C348" i="20"/>
  <c r="I348" i="20"/>
  <c r="G348" i="20"/>
  <c r="E348" i="20"/>
  <c r="D348" i="20"/>
  <c r="I349" i="20" l="1"/>
  <c r="D349" i="20"/>
  <c r="H349" i="20"/>
  <c r="E349" i="20"/>
  <c r="G349" i="20"/>
  <c r="J349" i="20"/>
  <c r="B350" i="20" s="1"/>
  <c r="F349" i="20"/>
  <c r="C349" i="20"/>
  <c r="J350" i="20" l="1"/>
  <c r="B351" i="20" s="1"/>
  <c r="G350" i="20"/>
  <c r="I350" i="20"/>
  <c r="C350" i="20"/>
  <c r="H350" i="20"/>
  <c r="F350" i="20"/>
  <c r="E350" i="20"/>
  <c r="D350" i="20"/>
  <c r="J351" i="20" l="1"/>
  <c r="B352" i="20" s="1"/>
  <c r="H351" i="20"/>
  <c r="D351" i="20"/>
  <c r="E351" i="20"/>
  <c r="I351" i="20"/>
  <c r="F351" i="20"/>
  <c r="G351" i="20"/>
  <c r="C351" i="20"/>
  <c r="J352" i="20" l="1"/>
  <c r="B353" i="20" s="1"/>
  <c r="H352" i="20"/>
  <c r="F352" i="20"/>
  <c r="C352" i="20"/>
  <c r="I352" i="20"/>
  <c r="G352" i="20"/>
  <c r="E352" i="20"/>
  <c r="D352" i="20"/>
  <c r="I353" i="20" l="1"/>
  <c r="G353" i="20"/>
  <c r="H353" i="20"/>
  <c r="E353" i="20"/>
  <c r="J353" i="20"/>
  <c r="B354" i="20" s="1"/>
  <c r="D353" i="20"/>
  <c r="F353" i="20"/>
  <c r="C353" i="20"/>
  <c r="J354" i="20" l="1"/>
  <c r="B355" i="20" s="1"/>
  <c r="G354" i="20"/>
  <c r="E354" i="20"/>
  <c r="I354" i="20"/>
  <c r="H354" i="20"/>
  <c r="F354" i="20"/>
  <c r="C354" i="20"/>
  <c r="D354" i="20"/>
  <c r="J355" i="20" l="1"/>
  <c r="B356" i="20" s="1"/>
  <c r="H355" i="20"/>
  <c r="D355" i="20"/>
  <c r="E355" i="20"/>
  <c r="I355" i="20"/>
  <c r="F355" i="20"/>
  <c r="G355" i="20"/>
  <c r="C355" i="20"/>
  <c r="J356" i="20" l="1"/>
  <c r="B357" i="20" s="1"/>
  <c r="H356" i="20"/>
  <c r="F356" i="20"/>
  <c r="C356" i="20"/>
  <c r="I356" i="20"/>
  <c r="G356" i="20"/>
  <c r="E356" i="20"/>
  <c r="D356" i="20"/>
  <c r="I357" i="20" l="1"/>
  <c r="G357" i="20"/>
  <c r="H357" i="20"/>
  <c r="E357" i="20"/>
  <c r="J357" i="20"/>
  <c r="B358" i="20" s="1"/>
  <c r="D357" i="20"/>
  <c r="F357" i="20"/>
  <c r="C357" i="20"/>
  <c r="H358" i="20" l="1"/>
  <c r="F358" i="20"/>
  <c r="E358" i="20"/>
  <c r="D358" i="20"/>
  <c r="J358" i="20"/>
  <c r="B359" i="20" s="1"/>
  <c r="G358" i="20"/>
  <c r="I358" i="20"/>
  <c r="C358" i="20"/>
  <c r="I359" i="20" l="1"/>
  <c r="F359" i="20"/>
  <c r="G359" i="20"/>
  <c r="C359" i="20"/>
  <c r="J359" i="20"/>
  <c r="B360" i="20" s="1"/>
  <c r="H359" i="20"/>
  <c r="D359" i="20"/>
  <c r="E359" i="20"/>
  <c r="I360" i="20" l="1"/>
  <c r="G360" i="20"/>
  <c r="E360" i="20"/>
  <c r="D360" i="20"/>
  <c r="J360" i="20"/>
  <c r="B361" i="20" s="1"/>
  <c r="H360" i="20"/>
  <c r="F360" i="20"/>
  <c r="C360" i="20"/>
  <c r="I361" i="20" l="1"/>
  <c r="G361" i="20"/>
  <c r="H361" i="20"/>
  <c r="E361" i="20"/>
  <c r="J361" i="20"/>
  <c r="B362" i="20" s="1"/>
  <c r="D361" i="20"/>
  <c r="F361" i="20"/>
  <c r="C361" i="20"/>
  <c r="J362" i="20" l="1"/>
  <c r="B363" i="20" s="1"/>
  <c r="G362" i="20"/>
  <c r="E362" i="20"/>
  <c r="I362" i="20"/>
  <c r="H362" i="20"/>
  <c r="F362" i="20"/>
  <c r="C362" i="20"/>
  <c r="D362" i="20"/>
  <c r="J363" i="20" l="1"/>
  <c r="B364" i="20" s="1"/>
  <c r="H363" i="20"/>
  <c r="D363" i="20"/>
  <c r="E363" i="20"/>
  <c r="G363" i="20"/>
  <c r="C363" i="20"/>
  <c r="I363" i="20"/>
  <c r="F363" i="20"/>
  <c r="J364" i="20" l="1"/>
  <c r="B365" i="20" s="1"/>
  <c r="F364" i="20"/>
  <c r="I364" i="20"/>
  <c r="G364" i="20"/>
  <c r="E364" i="20"/>
  <c r="D364" i="20"/>
  <c r="H364" i="20"/>
  <c r="C364" i="20"/>
  <c r="G365" i="20" l="1"/>
  <c r="J365" i="20"/>
  <c r="B366" i="20" s="1"/>
  <c r="F365" i="20"/>
  <c r="C365" i="20"/>
  <c r="I365" i="20"/>
  <c r="D365" i="20"/>
  <c r="H365" i="20"/>
  <c r="E365" i="20"/>
  <c r="H366" i="20" l="1"/>
  <c r="F366" i="20"/>
  <c r="E366" i="20"/>
  <c r="D366" i="20"/>
  <c r="J366" i="20"/>
  <c r="B367" i="20" s="1"/>
  <c r="G366" i="20"/>
  <c r="I366" i="20"/>
  <c r="C366" i="20"/>
  <c r="I367" i="20" l="1"/>
  <c r="F367" i="20"/>
  <c r="G367" i="20"/>
  <c r="C367" i="20"/>
  <c r="J367" i="20"/>
  <c r="B368" i="20" s="1"/>
  <c r="H367" i="20"/>
  <c r="D367" i="20"/>
  <c r="E367" i="20"/>
  <c r="I368" i="20" l="1"/>
  <c r="E368" i="20"/>
  <c r="J368" i="20"/>
  <c r="B369" i="20" s="1"/>
  <c r="H368" i="20"/>
  <c r="F368" i="20"/>
  <c r="C368" i="20"/>
  <c r="G368" i="20"/>
  <c r="D368" i="20"/>
  <c r="J369" i="20" l="1"/>
  <c r="B370" i="20" s="1"/>
  <c r="D369" i="20"/>
  <c r="F369" i="20"/>
  <c r="C369" i="20"/>
  <c r="I369" i="20"/>
  <c r="G369" i="20"/>
  <c r="H369" i="20"/>
  <c r="E369" i="20"/>
  <c r="J370" i="20" l="1"/>
  <c r="B371" i="20" s="1"/>
  <c r="G370" i="20"/>
  <c r="E370" i="20"/>
  <c r="I370" i="20"/>
  <c r="H370" i="20"/>
  <c r="F370" i="20"/>
  <c r="C370" i="20"/>
  <c r="D370" i="20"/>
  <c r="I371" i="20" l="1"/>
  <c r="F371" i="20"/>
  <c r="G371" i="20"/>
  <c r="C371" i="20"/>
  <c r="J371" i="20"/>
  <c r="B372" i="20" s="1"/>
  <c r="H371" i="20"/>
  <c r="D371" i="20"/>
  <c r="E371" i="20"/>
  <c r="I372" i="20" l="1"/>
  <c r="G372" i="20"/>
  <c r="E372" i="20"/>
  <c r="D372" i="20"/>
  <c r="J372" i="20"/>
  <c r="B373" i="20" s="1"/>
  <c r="H372" i="20"/>
  <c r="F372" i="20"/>
  <c r="C372" i="20"/>
  <c r="J373" i="20" l="1"/>
  <c r="B374" i="20" s="1"/>
  <c r="D373" i="20"/>
  <c r="F373" i="20"/>
  <c r="C373" i="20"/>
  <c r="I373" i="20"/>
  <c r="G373" i="20"/>
  <c r="H373" i="20"/>
  <c r="E373" i="20"/>
  <c r="H374" i="20" l="1"/>
  <c r="F374" i="20"/>
  <c r="E374" i="20"/>
  <c r="D374" i="20"/>
  <c r="J374" i="20"/>
  <c r="B375" i="20" s="1"/>
  <c r="G374" i="20"/>
  <c r="I374" i="20"/>
  <c r="C374" i="20"/>
  <c r="J375" i="20" l="1"/>
  <c r="B376" i="20" s="1"/>
  <c r="H375" i="20"/>
  <c r="D375" i="20"/>
  <c r="E375" i="20"/>
  <c r="I375" i="20"/>
  <c r="F375" i="20"/>
  <c r="G375" i="20"/>
  <c r="C375" i="20"/>
  <c r="J376" i="20" l="1"/>
  <c r="B377" i="20" s="1"/>
  <c r="H376" i="20"/>
  <c r="F376" i="20"/>
  <c r="C376" i="20"/>
  <c r="I376" i="20"/>
  <c r="G376" i="20"/>
  <c r="E376" i="20"/>
  <c r="D376" i="20"/>
  <c r="J377" i="20" l="1"/>
  <c r="B378" i="20" s="1"/>
  <c r="D377" i="20"/>
  <c r="F377" i="20"/>
  <c r="C377" i="20"/>
  <c r="I377" i="20"/>
  <c r="G377" i="20"/>
  <c r="H377" i="20"/>
  <c r="E377" i="20"/>
  <c r="H378" i="20" l="1"/>
  <c r="F378" i="20"/>
  <c r="C378" i="20"/>
  <c r="D378" i="20"/>
  <c r="J378" i="20"/>
  <c r="B379" i="20" s="1"/>
  <c r="G378" i="20"/>
  <c r="E378" i="20"/>
  <c r="I378" i="20"/>
  <c r="J379" i="20" l="1"/>
  <c r="B380" i="20" s="1"/>
  <c r="H379" i="20"/>
  <c r="D379" i="20"/>
  <c r="E379" i="20"/>
  <c r="I379" i="20"/>
  <c r="F379" i="20"/>
  <c r="G379" i="20"/>
  <c r="C379" i="20"/>
  <c r="I380" i="20" l="1"/>
  <c r="E16" i="20" s="1"/>
  <c r="E17" i="20" s="1"/>
  <c r="G380" i="20"/>
  <c r="E380" i="20"/>
  <c r="D380" i="20"/>
  <c r="J380" i="20"/>
  <c r="H380" i="20"/>
  <c r="F380" i="20"/>
  <c r="E15" i="20" s="1"/>
  <c r="C380" i="20"/>
  <c r="E14" i="20"/>
  <c r="B38" i="4" l="1"/>
  <c r="C38" i="4"/>
  <c r="F4" i="2"/>
  <c r="F5" i="2"/>
  <c r="F6" i="2"/>
  <c r="F7" i="2"/>
  <c r="F8" i="2"/>
  <c r="F9" i="2"/>
  <c r="F10" i="2"/>
  <c r="F11" i="2"/>
  <c r="F12" i="2"/>
  <c r="F13" i="2"/>
  <c r="F14" i="2"/>
  <c r="F15" i="2"/>
  <c r="F16" i="2"/>
  <c r="F17" i="2"/>
  <c r="G20" i="2" l="1"/>
  <c r="G22" i="2"/>
  <c r="G23" i="2"/>
  <c r="G24" i="2"/>
  <c r="G25" i="2"/>
  <c r="G26" i="2"/>
  <c r="G27" i="2"/>
  <c r="G28" i="2"/>
  <c r="G29" i="2"/>
  <c r="G30" i="2"/>
  <c r="G31" i="2"/>
  <c r="G32" i="2"/>
  <c r="G33" i="2"/>
  <c r="E23" i="2"/>
  <c r="E24" i="2"/>
  <c r="E25" i="2"/>
  <c r="E26" i="2"/>
  <c r="E27" i="2"/>
  <c r="E28" i="2"/>
  <c r="E29" i="2"/>
  <c r="E30" i="2"/>
  <c r="E31" i="2"/>
  <c r="E32" i="2"/>
  <c r="E33" i="2"/>
  <c r="F18" i="2"/>
  <c r="F20" i="2"/>
  <c r="F21" i="2"/>
  <c r="F22" i="2"/>
  <c r="F23" i="2"/>
  <c r="F24" i="2"/>
  <c r="F25" i="2"/>
  <c r="F26" i="2"/>
  <c r="F27" i="2"/>
  <c r="F28" i="2"/>
  <c r="F29" i="2"/>
  <c r="F30" i="2"/>
  <c r="F31" i="2"/>
  <c r="F32" i="2"/>
  <c r="F33" i="2"/>
  <c r="F19" i="2"/>
  <c r="E18" i="2"/>
  <c r="G18" i="2" s="1"/>
  <c r="E19" i="2"/>
  <c r="G19" i="2" s="1"/>
  <c r="E20" i="2"/>
  <c r="G21" i="2"/>
  <c r="E22" i="2"/>
  <c r="H19" i="2" l="1"/>
  <c r="H20" i="2"/>
  <c r="H21" i="2"/>
  <c r="H22" i="2"/>
  <c r="H23" i="2"/>
  <c r="H24" i="2"/>
  <c r="H25" i="2"/>
  <c r="H26" i="2"/>
  <c r="H27" i="2"/>
  <c r="H28" i="2"/>
  <c r="H29" i="2"/>
  <c r="H30" i="2"/>
  <c r="H31" i="2"/>
  <c r="H32" i="2"/>
  <c r="H33" i="2"/>
  <c r="H18" i="2"/>
  <c r="J18" i="2" l="1"/>
  <c r="J19" i="2"/>
  <c r="J20" i="2"/>
  <c r="J21" i="2"/>
  <c r="J22" i="2"/>
  <c r="J23" i="2"/>
  <c r="J24" i="2"/>
  <c r="J25" i="2"/>
  <c r="J26" i="2"/>
  <c r="J27" i="2"/>
  <c r="J28" i="2"/>
  <c r="J29" i="2"/>
  <c r="J30" i="2"/>
  <c r="J31" i="2"/>
  <c r="J32" i="2"/>
  <c r="J33" i="2"/>
  <c r="E17" i="2" l="1"/>
  <c r="G17" i="2" s="1"/>
  <c r="J17" i="2"/>
  <c r="H17" i="2"/>
  <c r="B34" i="2"/>
  <c r="B75" i="4" l="1"/>
  <c r="B77" i="4" s="1"/>
  <c r="C75" i="4"/>
  <c r="P107" i="12"/>
  <c r="W55" i="12"/>
  <c r="Q63" i="12"/>
  <c r="P63" i="12"/>
  <c r="S22" i="12"/>
  <c r="R22" i="12"/>
  <c r="Q22" i="12"/>
  <c r="P22" i="12"/>
  <c r="D148" i="12"/>
  <c r="P98" i="12"/>
  <c r="S28" i="12" l="1"/>
  <c r="S14" i="12"/>
  <c r="G42" i="12" l="1"/>
  <c r="S13" i="12" s="1"/>
  <c r="F26" i="12"/>
  <c r="R13" i="12" s="1"/>
  <c r="E26" i="12"/>
  <c r="Q13" i="12" s="1"/>
  <c r="D26" i="12"/>
  <c r="P13" i="12" l="1"/>
  <c r="P15" i="12" s="1"/>
  <c r="P93" i="12"/>
  <c r="P91" i="12"/>
  <c r="M116" i="12"/>
  <c r="M117" i="12"/>
  <c r="M118" i="12"/>
  <c r="M119" i="12"/>
  <c r="M120" i="12"/>
  <c r="M121" i="12"/>
  <c r="M122" i="12"/>
  <c r="M123" i="12"/>
  <c r="M124" i="12"/>
  <c r="M115" i="12"/>
  <c r="P99" i="12" l="1"/>
  <c r="P116" i="12" s="1"/>
  <c r="P94" i="12"/>
  <c r="M125" i="12"/>
  <c r="P95" i="12"/>
  <c r="P96" i="12" s="1"/>
  <c r="P122" i="12" l="1"/>
  <c r="P125" i="12" s="1"/>
  <c r="K170" i="12" s="1"/>
  <c r="K179" i="12" s="1"/>
  <c r="P115" i="12"/>
  <c r="P108" i="12"/>
  <c r="P119" i="12" s="1"/>
  <c r="P124" i="12" s="1"/>
  <c r="K168" i="12" s="1"/>
  <c r="K177" i="12" s="1"/>
  <c r="P114" i="12"/>
  <c r="J6" i="2" l="1"/>
  <c r="J7" i="2"/>
  <c r="J13" i="2"/>
  <c r="J15" i="2"/>
  <c r="H16" i="2"/>
  <c r="J16" i="2"/>
  <c r="E16" i="2"/>
  <c r="G16" i="2" s="1"/>
  <c r="H15" i="2"/>
  <c r="H14" i="2"/>
  <c r="J14" i="2"/>
  <c r="E14" i="2"/>
  <c r="G14" i="2" s="1"/>
  <c r="H13" i="2"/>
  <c r="E13" i="2"/>
  <c r="G13" i="2" s="1"/>
  <c r="H12" i="2"/>
  <c r="J12" i="2"/>
  <c r="E12" i="2"/>
  <c r="G12" i="2" s="1"/>
  <c r="H11" i="2"/>
  <c r="J11" i="2"/>
  <c r="E11" i="2"/>
  <c r="G11" i="2" s="1"/>
  <c r="H10" i="2"/>
  <c r="J10" i="2"/>
  <c r="E10" i="2"/>
  <c r="G10" i="2" s="1"/>
  <c r="H9" i="2"/>
  <c r="J9" i="2"/>
  <c r="E9" i="2"/>
  <c r="G9" i="2" s="1"/>
  <c r="H8" i="2"/>
  <c r="J8" i="2"/>
  <c r="E8" i="2"/>
  <c r="G8" i="2" s="1"/>
  <c r="H7" i="2"/>
  <c r="F34" i="2"/>
  <c r="E7" i="2"/>
  <c r="G7" i="2" s="1"/>
  <c r="H6" i="2"/>
  <c r="E6" i="2"/>
  <c r="G6" i="2" s="1"/>
  <c r="H5" i="2"/>
  <c r="J5" i="2"/>
  <c r="E5" i="2"/>
  <c r="G5" i="2" s="1"/>
  <c r="H4" i="2"/>
  <c r="J4" i="2"/>
  <c r="E4" i="2"/>
  <c r="G4" i="2" s="1"/>
  <c r="B24" i="4" l="1"/>
  <c r="C24" i="4"/>
  <c r="J34" i="2"/>
  <c r="H34" i="2"/>
  <c r="E15" i="2"/>
  <c r="G15" i="2" s="1"/>
  <c r="G34" i="2" s="1"/>
  <c r="D19" i="13"/>
  <c r="B19" i="13"/>
  <c r="C29" i="4" l="1"/>
  <c r="B29" i="4"/>
  <c r="B79" i="4"/>
  <c r="C77" i="4"/>
  <c r="C79" i="4" s="1"/>
  <c r="I68" i="12"/>
  <c r="H53" i="12"/>
  <c r="G32" i="12"/>
  <c r="E19" i="12"/>
  <c r="F19" i="12"/>
  <c r="F15" i="12"/>
  <c r="G15" i="12"/>
  <c r="H15" i="12"/>
  <c r="I15" i="12"/>
  <c r="E15" i="12"/>
  <c r="D15" i="12"/>
  <c r="D19" i="12" l="1"/>
  <c r="D154" i="12" l="1"/>
  <c r="W74" i="12" l="1"/>
  <c r="W73" i="12"/>
  <c r="W72" i="12"/>
  <c r="W71" i="12"/>
  <c r="W70" i="12"/>
  <c r="W69" i="12"/>
  <c r="W68" i="12"/>
  <c r="W53" i="12"/>
  <c r="W75" i="12" s="1"/>
  <c r="W54" i="12" l="1"/>
  <c r="W56" i="12" s="1"/>
  <c r="W79" i="12" s="1"/>
  <c r="W84" i="12" s="1"/>
  <c r="W76" i="12" l="1"/>
  <c r="W77" i="12" s="1"/>
  <c r="W82" i="12"/>
  <c r="W85" i="12" s="1"/>
  <c r="J170" i="12" s="1"/>
  <c r="J179" i="12" s="1"/>
  <c r="W80" i="12" l="1"/>
  <c r="W81" i="12" s="1"/>
  <c r="W83" i="12"/>
  <c r="J167" i="12" s="1"/>
  <c r="J176" i="12" s="1"/>
  <c r="J168" i="12" l="1"/>
  <c r="J177" i="12" s="1"/>
  <c r="W86" i="12"/>
  <c r="J169" i="12" s="1"/>
  <c r="J178" i="12" s="1"/>
  <c r="W87" i="12"/>
  <c r="J171" i="12" s="1"/>
  <c r="Q68" i="12"/>
  <c r="Q60" i="12"/>
  <c r="Q74" i="12" s="1"/>
  <c r="Q57" i="12"/>
  <c r="Q56" i="12"/>
  <c r="I72" i="12"/>
  <c r="Q70" i="12" s="1"/>
  <c r="P56" i="12"/>
  <c r="P60" i="12" s="1"/>
  <c r="P61" i="12" s="1"/>
  <c r="H57" i="12"/>
  <c r="P70" i="12" s="1"/>
  <c r="P57" i="12"/>
  <c r="S15" i="12"/>
  <c r="S30" i="12" s="1"/>
  <c r="P69" i="12" l="1"/>
  <c r="Q69" i="12"/>
  <c r="Q55" i="12"/>
  <c r="Q61" i="12"/>
  <c r="P64" i="12"/>
  <c r="P79" i="12" s="1"/>
  <c r="P84" i="12" s="1"/>
  <c r="P75" i="12"/>
  <c r="P59" i="12"/>
  <c r="P76" i="12" s="1"/>
  <c r="P74" i="12"/>
  <c r="P55" i="12"/>
  <c r="P58" i="12" s="1"/>
  <c r="H63" i="12"/>
  <c r="S29" i="12"/>
  <c r="S16" i="12"/>
  <c r="S24" i="12" s="1"/>
  <c r="S36" i="12" s="1"/>
  <c r="Q59" i="12" l="1"/>
  <c r="Q76" i="12" s="1"/>
  <c r="Q58" i="12"/>
  <c r="Q75" i="12"/>
  <c r="Q64" i="12"/>
  <c r="Q79" i="12" s="1"/>
  <c r="Q84" i="12" s="1"/>
  <c r="H65" i="12"/>
  <c r="P54" i="12" s="1"/>
  <c r="P68" i="12"/>
  <c r="S19" i="12"/>
  <c r="S17" i="12"/>
  <c r="S20" i="12" l="1"/>
  <c r="S42" i="12" s="1"/>
  <c r="S45" i="12" s="1"/>
  <c r="S34" i="12"/>
  <c r="P82" i="12"/>
  <c r="P85" i="12" s="1"/>
  <c r="H170" i="12" s="1"/>
  <c r="H179" i="12" s="1"/>
  <c r="P62" i="12"/>
  <c r="P73" i="12"/>
  <c r="S35" i="12" l="1"/>
  <c r="S23" i="12"/>
  <c r="S39" i="12" s="1"/>
  <c r="S44" i="12" s="1"/>
  <c r="P72" i="12"/>
  <c r="P71" i="12"/>
  <c r="P77" i="12" l="1"/>
  <c r="P80" i="12" l="1"/>
  <c r="P81" i="12" s="1"/>
  <c r="P83" i="12"/>
  <c r="H167" i="12" s="1"/>
  <c r="H176" i="12" s="1"/>
  <c r="Q28" i="12"/>
  <c r="R28" i="12"/>
  <c r="I79" i="12"/>
  <c r="Q54" i="12" s="1"/>
  <c r="H168" i="12" l="1"/>
  <c r="H177" i="12" s="1"/>
  <c r="P86" i="12"/>
  <c r="H169" i="12" s="1"/>
  <c r="H178" i="12" s="1"/>
  <c r="P87" i="12"/>
  <c r="H171" i="12" s="1"/>
  <c r="G170" i="12"/>
  <c r="G179" i="12" s="1"/>
  <c r="Q62" i="12"/>
  <c r="Q82" i="12"/>
  <c r="Q85" i="12" s="1"/>
  <c r="I170" i="12" s="1"/>
  <c r="I179" i="12" s="1"/>
  <c r="R21" i="12"/>
  <c r="R32" i="12" s="1"/>
  <c r="S33" i="12"/>
  <c r="S21" i="12"/>
  <c r="S31" i="12" s="1"/>
  <c r="R15" i="12"/>
  <c r="R30" i="12" s="1"/>
  <c r="Q15" i="12"/>
  <c r="Q16" i="12" s="1"/>
  <c r="Q33" i="12"/>
  <c r="Q21" i="12"/>
  <c r="Q31" i="12" s="1"/>
  <c r="R33" i="12"/>
  <c r="Q19" i="12" l="1"/>
  <c r="Q20" i="12" s="1"/>
  <c r="Q24" i="12"/>
  <c r="Q36" i="12" s="1"/>
  <c r="R31" i="12"/>
  <c r="R17" i="12"/>
  <c r="Q72" i="12"/>
  <c r="Q73" i="12"/>
  <c r="Q71" i="12"/>
  <c r="R16" i="12"/>
  <c r="R29" i="12"/>
  <c r="S32" i="12"/>
  <c r="S37" i="12" s="1"/>
  <c r="Q30" i="12"/>
  <c r="Q17" i="12"/>
  <c r="Q29" i="12"/>
  <c r="Q32" i="12"/>
  <c r="Q34" i="12"/>
  <c r="R19" i="12" l="1"/>
  <c r="R34" i="12" s="1"/>
  <c r="R24" i="12"/>
  <c r="R36" i="12" s="1"/>
  <c r="R20" i="12"/>
  <c r="R23" i="12" s="1"/>
  <c r="R39" i="12" s="1"/>
  <c r="R44" i="12" s="1"/>
  <c r="Q77" i="12"/>
  <c r="Q42" i="12"/>
  <c r="Q35" i="12"/>
  <c r="Q37" i="12" s="1"/>
  <c r="Q23" i="12"/>
  <c r="Q39" i="12" s="1"/>
  <c r="Q44" i="12" s="1"/>
  <c r="Q45" i="12" l="1"/>
  <c r="E170" i="12" s="1"/>
  <c r="E179" i="12" s="1"/>
  <c r="Q43" i="12"/>
  <c r="E167" i="12" s="1"/>
  <c r="E176" i="12" s="1"/>
  <c r="Q40" i="12"/>
  <c r="Q41" i="12" s="1"/>
  <c r="Q46" i="12" s="1"/>
  <c r="S43" i="12"/>
  <c r="G167" i="12" s="1"/>
  <c r="G176" i="12" s="1"/>
  <c r="S40" i="12"/>
  <c r="S41" i="12" s="1"/>
  <c r="S46" i="12" s="1"/>
  <c r="R35" i="12"/>
  <c r="R37" i="12" s="1"/>
  <c r="R42" i="12"/>
  <c r="Q80" i="12"/>
  <c r="Q81" i="12" s="1"/>
  <c r="Q83" i="12"/>
  <c r="I167" i="12" s="1"/>
  <c r="I176" i="12" s="1"/>
  <c r="R45" i="12" l="1"/>
  <c r="F170" i="12" s="1"/>
  <c r="F179" i="12" s="1"/>
  <c r="R43" i="12"/>
  <c r="F167" i="12" s="1"/>
  <c r="F176" i="12" s="1"/>
  <c r="R40" i="12"/>
  <c r="R41" i="12" s="1"/>
  <c r="E168" i="12"/>
  <c r="E177" i="12" s="1"/>
  <c r="E169" i="12"/>
  <c r="E178" i="12" s="1"/>
  <c r="I168" i="12"/>
  <c r="I177" i="12" s="1"/>
  <c r="Q86" i="12"/>
  <c r="I169" i="12" s="1"/>
  <c r="I178" i="12" s="1"/>
  <c r="G168" i="12"/>
  <c r="G177" i="12" s="1"/>
  <c r="G169" i="12"/>
  <c r="G178" i="12" s="1"/>
  <c r="F168" i="12"/>
  <c r="F177" i="12" s="1"/>
  <c r="S47" i="12"/>
  <c r="G171" i="12" s="1"/>
  <c r="Q87" i="12"/>
  <c r="I171" i="12" s="1"/>
  <c r="Q47" i="12"/>
  <c r="E171" i="12" s="1"/>
  <c r="P28" i="12"/>
  <c r="R46" i="12" l="1"/>
  <c r="F169" i="12" s="1"/>
  <c r="F178" i="12" s="1"/>
  <c r="R47" i="12"/>
  <c r="F171" i="12" s="1"/>
  <c r="P21" i="12"/>
  <c r="P33" i="12"/>
  <c r="P29" i="12" l="1"/>
  <c r="P17" i="12"/>
  <c r="P30" i="12"/>
  <c r="P16" i="12"/>
  <c r="P31" i="12"/>
  <c r="P32" i="12"/>
  <c r="P19" i="12" l="1"/>
  <c r="P20" i="12" s="1"/>
  <c r="P42" i="12" s="1"/>
  <c r="P45" i="12" s="1"/>
  <c r="P24" i="12"/>
  <c r="P36" i="12" s="1"/>
  <c r="P34" i="12"/>
  <c r="P35" i="12" l="1"/>
  <c r="P37" i="12" s="1"/>
  <c r="P23" i="12"/>
  <c r="P39" i="12" s="1"/>
  <c r="P44" i="12" s="1"/>
  <c r="D170" i="12"/>
  <c r="D179" i="12" s="1"/>
  <c r="I187" i="12" s="1"/>
  <c r="B71" i="4" l="1"/>
  <c r="B72" i="4" s="1"/>
  <c r="C71" i="4"/>
  <c r="C72" i="4" s="1"/>
  <c r="K110" i="12"/>
  <c r="P92" i="12" s="1"/>
  <c r="P112" i="12" s="1"/>
  <c r="P43" i="12"/>
  <c r="D167" i="12" s="1"/>
  <c r="D176" i="12" s="1"/>
  <c r="P40" i="12"/>
  <c r="P41" i="12" s="1"/>
  <c r="P46" i="12" s="1"/>
  <c r="P97" i="12" l="1"/>
  <c r="P113" i="12"/>
  <c r="P117" i="12" s="1"/>
  <c r="D168" i="12"/>
  <c r="D177" i="12" s="1"/>
  <c r="I185" i="12" s="1"/>
  <c r="D169" i="12"/>
  <c r="D178" i="12" s="1"/>
  <c r="P47" i="12"/>
  <c r="D171" i="12" s="1"/>
  <c r="B4" i="4" l="1"/>
  <c r="B10" i="4" s="1"/>
  <c r="C4" i="4"/>
  <c r="C10" i="4" s="1"/>
  <c r="P120" i="12"/>
  <c r="P121" i="12" s="1"/>
  <c r="P123" i="12" l="1"/>
  <c r="K167" i="12" s="1"/>
  <c r="K176" i="12" s="1"/>
  <c r="I184" i="12" s="1"/>
  <c r="P127" i="12"/>
  <c r="K171" i="12" s="1"/>
  <c r="P126" i="12"/>
  <c r="K169" i="12" s="1"/>
  <c r="K178" i="12" s="1"/>
  <c r="I186" i="12" l="1"/>
  <c r="I188" i="12" s="1"/>
  <c r="C14" i="4"/>
  <c r="C44" i="4" s="1"/>
  <c r="B14" i="4"/>
  <c r="C46" i="4" l="1"/>
  <c r="B44" i="4"/>
  <c r="B46" i="4" l="1"/>
  <c r="B14" i="13" s="1"/>
  <c r="B15" i="13" s="1"/>
  <c r="B16" i="13" s="1"/>
  <c r="B18" i="13" s="1"/>
  <c r="B20" i="13" s="1"/>
  <c r="D14" i="13"/>
  <c r="B43" i="13" l="1"/>
  <c r="B47" i="4"/>
  <c r="B48" i="4" s="1"/>
  <c r="B91" i="4" s="1"/>
  <c r="D15" i="13"/>
  <c r="D16" i="13" s="1"/>
  <c r="D18" i="13" s="1"/>
  <c r="D20" i="13" s="1"/>
  <c r="D28" i="13"/>
  <c r="D30" i="13" s="1"/>
  <c r="D38" i="13" s="1"/>
  <c r="D41" i="13" l="1"/>
  <c r="D43" i="13" s="1"/>
  <c r="C47" i="4" l="1"/>
  <c r="C48" i="4" s="1"/>
  <c r="C91" i="4" s="1"/>
</calcChain>
</file>

<file path=xl/comments1.xml><?xml version="1.0" encoding="utf-8"?>
<comments xmlns="http://schemas.openxmlformats.org/spreadsheetml/2006/main">
  <authors>
    <author>Friz, Jürgen (LVWO)</author>
  </authors>
  <commentList>
    <comment ref="A35" authorId="0" shapeId="0">
      <text>
        <r>
          <rPr>
            <b/>
            <sz val="9"/>
            <color indexed="81"/>
            <rFont val="Tahoma"/>
            <family val="2"/>
          </rPr>
          <t>Beim Berühren dieses Feldes mit der Maus geht ein Kommentarfeld auf</t>
        </r>
        <r>
          <rPr>
            <sz val="9"/>
            <color indexed="81"/>
            <rFont val="Tahoma"/>
            <family val="2"/>
          </rPr>
          <t xml:space="preserve">
</t>
        </r>
      </text>
    </comment>
  </commentList>
</comments>
</file>

<file path=xl/comments2.xml><?xml version="1.0" encoding="utf-8"?>
<comments xmlns="http://schemas.openxmlformats.org/spreadsheetml/2006/main">
  <authors>
    <author>Friz, Jürgen (LVWO)</author>
    <author>station</author>
  </authors>
  <commentList>
    <comment ref="B19" authorId="0" shapeId="0">
      <text>
        <r>
          <rPr>
            <b/>
            <sz val="9"/>
            <color indexed="81"/>
            <rFont val="Tahoma"/>
            <family val="2"/>
          </rPr>
          <t>Wieviel Liter füllen Sie im Ø in die Brennblase ein?</t>
        </r>
      </text>
    </comment>
    <comment ref="B20" authorId="0" shapeId="0">
      <text>
        <r>
          <rPr>
            <b/>
            <sz val="9"/>
            <color indexed="81"/>
            <rFont val="Tahoma"/>
            <family val="2"/>
          </rPr>
          <t>Wieviele Abtriebe machen Sie an einem Tag?</t>
        </r>
        <r>
          <rPr>
            <sz val="9"/>
            <color indexed="81"/>
            <rFont val="Tahoma"/>
            <family val="2"/>
          </rPr>
          <t xml:space="preserve">
</t>
        </r>
      </text>
    </comment>
    <comment ref="B21" authorId="0" shapeId="0">
      <text>
        <r>
          <rPr>
            <b/>
            <sz val="9"/>
            <color indexed="81"/>
            <rFont val="Tahoma"/>
            <family val="2"/>
          </rPr>
          <t>Wie lange brauchen Sie im Ø für einen Brand?</t>
        </r>
      </text>
    </comment>
    <comment ref="B22" authorId="0" shapeId="0">
      <text>
        <r>
          <rPr>
            <b/>
            <sz val="9"/>
            <color indexed="81"/>
            <rFont val="Tahoma"/>
            <family val="2"/>
          </rPr>
          <t xml:space="preserve">Da bei Verschlussbrennereien in der Regel der Nachlauf nicht heraus gebrannt wird, sieht die Gesamtausbeute und der vermarktungsfähige Mittellaufanteil komplett anders aus. Bei 6,3 LA Gesamtausbeute in der Abfindung steht  dann in der Verschluss 4,2 LA bei einem Mittellaufanteil von 90% anstatt 60%
</t>
        </r>
      </text>
    </comment>
    <comment ref="B23" authorId="0" shapeId="0">
      <text>
        <r>
          <rPr>
            <b/>
            <sz val="9"/>
            <color indexed="81"/>
            <rFont val="Tahoma"/>
            <family val="2"/>
          </rPr>
          <t>Da bei Verschlussbrennereien in der Regel der Nachlauf nicht heraus gebrannt wird, sieht die Gesamtausbeute und der vermarktungsfähige Mittellaufanteil komplett anders aus. Bei 6,3 LA Gesamtausbeute in der Abfindung steht  dann in der Verschluss 4,2 LA bei einem Mittellaufanteil von 90% anstatt 60%</t>
        </r>
      </text>
    </comment>
    <comment ref="B32" authorId="0" shapeId="0">
      <text>
        <r>
          <rPr>
            <b/>
            <sz val="9"/>
            <color indexed="81"/>
            <rFont val="Tahoma"/>
            <family val="2"/>
          </rPr>
          <t>Wieviel Liter füllen Sie im Ø in die Brennblase ein?</t>
        </r>
      </text>
    </comment>
    <comment ref="B33" authorId="0" shapeId="0">
      <text>
        <r>
          <rPr>
            <b/>
            <sz val="9"/>
            <color indexed="81"/>
            <rFont val="Tahoma"/>
            <family val="2"/>
          </rPr>
          <t>Wieviele Abtriebe machen Sie an einem Tag?</t>
        </r>
        <r>
          <rPr>
            <sz val="9"/>
            <color indexed="81"/>
            <rFont val="Tahoma"/>
            <family val="2"/>
          </rPr>
          <t xml:space="preserve">
</t>
        </r>
      </text>
    </comment>
    <comment ref="B34" authorId="0" shapeId="0">
      <text>
        <r>
          <rPr>
            <b/>
            <sz val="9"/>
            <color indexed="81"/>
            <rFont val="Tahoma"/>
            <family val="2"/>
          </rPr>
          <t>Wie lange brauchen Sie im Ø für einen Brand?</t>
        </r>
      </text>
    </comment>
    <comment ref="B35" authorId="0" shapeId="0">
      <text>
        <r>
          <rPr>
            <b/>
            <sz val="9"/>
            <color indexed="81"/>
            <rFont val="Tahoma"/>
            <family val="2"/>
          </rPr>
          <t xml:space="preserve">Wieviel LA Ausbeute haben Sie bei dieser Charge?
</t>
        </r>
        <r>
          <rPr>
            <sz val="9"/>
            <color indexed="81"/>
            <rFont val="Tahoma"/>
            <family val="2"/>
          </rPr>
          <t xml:space="preserve">
</t>
        </r>
      </text>
    </comment>
    <comment ref="B36" authorId="0" shapeId="0">
      <text>
        <r>
          <rPr>
            <b/>
            <sz val="9"/>
            <color indexed="81"/>
            <rFont val="Tahoma"/>
            <family val="2"/>
          </rPr>
          <t xml:space="preserve">Wieviel % Mittellauf von der Gesamtausbeute haben Sie erreicht? 
Beispiel 
Gesamtausbeute 6 LA= 100 %
Mittellauf 3,9 LA
d.h. 6 LA= 100%
       0,06 LA= 1 %
       3,9 LA= 3,9/ 0,06 LA= 65 %
</t>
        </r>
        <r>
          <rPr>
            <b/>
            <sz val="14"/>
            <color indexed="81"/>
            <rFont val="Tahoma"/>
            <family val="2"/>
          </rPr>
          <t xml:space="preserve">
</t>
        </r>
      </text>
    </comment>
    <comment ref="C39" authorId="1" shapeId="0">
      <text>
        <r>
          <rPr>
            <sz val="9"/>
            <color indexed="81"/>
            <rFont val="Tahoma"/>
            <family val="2"/>
          </rPr>
          <t xml:space="preserve">
Summe aus Getreide kg und Malz kg muss die verarbeitete Getreidemenge dieser Charge ergeben (Pos. 22)</t>
        </r>
      </text>
    </comment>
    <comment ref="C40" authorId="1" shapeId="0">
      <text>
        <r>
          <rPr>
            <sz val="9"/>
            <color indexed="81"/>
            <rFont val="Tahoma"/>
            <family val="2"/>
          </rPr>
          <t xml:space="preserve">
Summe aus Getreide kg und Malz kg muss die verarbeitete Getreidemenge dieser Charge ergeben (Pos. 22)</t>
        </r>
      </text>
    </comment>
    <comment ref="B43" authorId="0" shapeId="0">
      <text>
        <r>
          <rPr>
            <b/>
            <sz val="9"/>
            <color indexed="81"/>
            <rFont val="Tahoma"/>
            <family val="2"/>
          </rPr>
          <t>Wieviel kosten Ihre Getreide  in Euro je 100 kg netto?
Bei Eigenproduktion Zukaufspreis nehmen!</t>
        </r>
      </text>
    </comment>
    <comment ref="B44" authorId="0" shapeId="0">
      <text>
        <r>
          <rPr>
            <b/>
            <sz val="9"/>
            <color indexed="81"/>
            <rFont val="Tahoma"/>
            <family val="2"/>
          </rPr>
          <t>Wieviel kosten Ihr Malz  in Euro je 100 kg netto?</t>
        </r>
        <r>
          <rPr>
            <sz val="9"/>
            <color indexed="81"/>
            <rFont val="Tahoma"/>
            <family val="2"/>
          </rPr>
          <t xml:space="preserve">
</t>
        </r>
      </text>
    </comment>
    <comment ref="B45" authorId="0" shapeId="0">
      <text>
        <r>
          <rPr>
            <b/>
            <sz val="9"/>
            <color indexed="81"/>
            <rFont val="Tahoma"/>
            <family val="2"/>
          </rPr>
          <t xml:space="preserve">bei Wassererwärmung in der Brennerei
ca. 7- 9 Euro / 100 kg Getreide Energiekosten
bei Verwendung von Kühlwasser ca. 1 /3 davon </t>
        </r>
        <r>
          <rPr>
            <sz val="9"/>
            <color indexed="81"/>
            <rFont val="Tahoma"/>
            <family val="2"/>
          </rPr>
          <t xml:space="preserve">
</t>
        </r>
      </text>
    </comment>
    <comment ref="B46" authorId="0" shapeId="0">
      <text>
        <r>
          <rPr>
            <b/>
            <sz val="9"/>
            <color indexed="81"/>
            <rFont val="Tahoma"/>
            <family val="2"/>
          </rPr>
          <t>Wasserkosten 2- 3 Euro / 100 kg Getreide</t>
        </r>
        <r>
          <rPr>
            <sz val="9"/>
            <color indexed="81"/>
            <rFont val="Tahoma"/>
            <family val="2"/>
          </rPr>
          <t xml:space="preserve">
</t>
        </r>
        <r>
          <rPr>
            <b/>
            <sz val="9"/>
            <color indexed="81"/>
            <rFont val="Tahoma"/>
            <family val="2"/>
          </rPr>
          <t>bei Verwendung von warmem Kühlwasser entsprechend weniger</t>
        </r>
      </text>
    </comment>
    <comment ref="C48" authorId="0" shapeId="0">
      <text>
        <r>
          <rPr>
            <b/>
            <sz val="9"/>
            <color indexed="81"/>
            <rFont val="Tahoma"/>
            <family val="2"/>
          </rPr>
          <t>Zeitaufwand beim Einmaischen pro Charge: "2" deshalb, weil man nicht die ganze Zeit daneben stehen muss. Man kann neben dem Einmaischen noch etwas anderes arbeiten, z.B. Destillieren</t>
        </r>
      </text>
    </comment>
    <comment ref="B53" authorId="0" shapeId="0">
      <text>
        <r>
          <rPr>
            <b/>
            <sz val="9"/>
            <color indexed="81"/>
            <rFont val="Tahoma"/>
            <family val="2"/>
          </rPr>
          <t>Wieviel Liter füllen Sie im Ø in die Brennblase ein?</t>
        </r>
      </text>
    </comment>
    <comment ref="B54" authorId="0" shapeId="0">
      <text>
        <r>
          <rPr>
            <b/>
            <sz val="9"/>
            <color indexed="81"/>
            <rFont val="Tahoma"/>
            <family val="2"/>
          </rPr>
          <t>Wieviele Abtriebe machen Sie an einem Tag?</t>
        </r>
        <r>
          <rPr>
            <sz val="9"/>
            <color indexed="81"/>
            <rFont val="Tahoma"/>
            <family val="2"/>
          </rPr>
          <t xml:space="preserve">
</t>
        </r>
      </text>
    </comment>
    <comment ref="B55" authorId="0" shapeId="0">
      <text>
        <r>
          <rPr>
            <b/>
            <sz val="9"/>
            <color indexed="81"/>
            <rFont val="Tahoma"/>
            <family val="2"/>
          </rPr>
          <t>Wie lange brauchen Sie im Ø für einen Brand?</t>
        </r>
        <r>
          <rPr>
            <sz val="9"/>
            <color indexed="81"/>
            <rFont val="Tahoma"/>
            <family val="2"/>
          </rPr>
          <t xml:space="preserve">
</t>
        </r>
      </text>
    </comment>
    <comment ref="B61" authorId="0" shapeId="0">
      <text>
        <r>
          <rPr>
            <b/>
            <sz val="9"/>
            <color indexed="81"/>
            <rFont val="Tahoma"/>
            <family val="2"/>
          </rPr>
          <t>Wieviel kosten Ihre Obst/ Botanicals  in Euro je kg netto?
Bei Eigenproduktion Zukaufspreis nehmen!</t>
        </r>
      </text>
    </comment>
    <comment ref="B68" authorId="0" shapeId="0">
      <text>
        <r>
          <rPr>
            <b/>
            <sz val="9"/>
            <color indexed="81"/>
            <rFont val="Tahoma"/>
            <family val="2"/>
          </rPr>
          <t>Wieviel Liter füllen Sie im Ø in die Brennblase ein?</t>
        </r>
      </text>
    </comment>
    <comment ref="B69" authorId="0" shapeId="0">
      <text>
        <r>
          <rPr>
            <b/>
            <sz val="9"/>
            <color indexed="81"/>
            <rFont val="Tahoma"/>
            <family val="2"/>
          </rPr>
          <t>Wieviele Abtriebe machen Sie an einem Tag?</t>
        </r>
        <r>
          <rPr>
            <sz val="9"/>
            <color indexed="81"/>
            <rFont val="Tahoma"/>
            <family val="2"/>
          </rPr>
          <t xml:space="preserve">
</t>
        </r>
      </text>
    </comment>
    <comment ref="B70" authorId="0" shapeId="0">
      <text>
        <r>
          <rPr>
            <b/>
            <sz val="9"/>
            <color indexed="81"/>
            <rFont val="Tahoma"/>
            <family val="2"/>
          </rPr>
          <t>Wie lange brauchen Sie im Ø für einen Brand?</t>
        </r>
        <r>
          <rPr>
            <sz val="9"/>
            <color indexed="81"/>
            <rFont val="Tahoma"/>
            <family val="2"/>
          </rPr>
          <t xml:space="preserve">
</t>
        </r>
      </text>
    </comment>
    <comment ref="B76" authorId="0" shapeId="0">
      <text>
        <r>
          <rPr>
            <b/>
            <sz val="9"/>
            <color indexed="81"/>
            <rFont val="Tahoma"/>
            <family val="2"/>
          </rPr>
          <t>Wieviel kosten Ihre Obst/ Botanicals  in Euro je kg netto?
Bei Eigenproduktion Zukaufspreis nehmen!</t>
        </r>
      </text>
    </comment>
    <comment ref="B110" authorId="0" shapeId="0">
      <text>
        <r>
          <rPr>
            <b/>
            <sz val="9"/>
            <color rgb="FF000000"/>
            <rFont val="Tahoma"/>
            <family val="2"/>
          </rPr>
          <t>Ø aus den variablen Kosten der Produkte Kerobst, Steinobst, Trester und Getreide abzüglich Flaschen- und Filtrationskosten</t>
        </r>
      </text>
    </comment>
    <comment ref="B112" authorId="0" shapeId="0">
      <text>
        <r>
          <rPr>
            <b/>
            <sz val="9"/>
            <color rgb="FF000000"/>
            <rFont val="Tahoma"/>
            <family val="2"/>
          </rPr>
          <t>Wie hoch ist Ihr jährlicher Aufwand das Holzfass zu kontrollieren (Dichtigkeit und sensorisch)</t>
        </r>
        <r>
          <rPr>
            <sz val="9"/>
            <color rgb="FF000000"/>
            <rFont val="Tahoma"/>
            <family val="2"/>
          </rPr>
          <t xml:space="preserve">
</t>
        </r>
      </text>
    </comment>
    <comment ref="B113" authorId="0" shapeId="0">
      <text>
        <r>
          <rPr>
            <b/>
            <sz val="9"/>
            <color rgb="FF000000"/>
            <rFont val="Tahoma"/>
            <family val="2"/>
          </rPr>
          <t>aktuellen Zinssatz eingeben</t>
        </r>
        <r>
          <rPr>
            <sz val="9"/>
            <color rgb="FF000000"/>
            <rFont val="Tahoma"/>
            <family val="2"/>
          </rPr>
          <t xml:space="preserve">
</t>
        </r>
      </text>
    </comment>
    <comment ref="B115"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16"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17"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18"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19"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0"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1"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2"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3"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4" authorId="0" shapeId="0">
      <text>
        <r>
          <rPr>
            <b/>
            <sz val="9"/>
            <color rgb="FF000000"/>
            <rFont val="Tahoma"/>
            <family val="2"/>
          </rPr>
          <t xml:space="preserve">Lagerverluste in % eingeben. Im 1. Jahr mehr, dann fallend, je nach Lagerbedingungen.
Bei nur 1 jähriger Lagerung bei den Restjahren
0 eintragen
</t>
        </r>
        <r>
          <rPr>
            <sz val="9"/>
            <color rgb="FF000000"/>
            <rFont val="Tahoma"/>
            <family val="2"/>
          </rPr>
          <t xml:space="preserve">
</t>
        </r>
      </text>
    </comment>
    <comment ref="B128" authorId="0" shapeId="0">
      <text>
        <r>
          <rPr>
            <b/>
            <sz val="9"/>
            <color indexed="81"/>
            <rFont val="Tahoma"/>
            <family val="2"/>
          </rPr>
          <t>bei Abfindungsbrennereien ca. 0,8- 1,10 Euro
bei Verschlusbrennereien ca. die Hälfte</t>
        </r>
      </text>
    </comment>
    <comment ref="B129" authorId="0" shapeId="0">
      <text>
        <r>
          <rPr>
            <b/>
            <sz val="9"/>
            <color indexed="81"/>
            <rFont val="Tahoma"/>
            <family val="2"/>
          </rPr>
          <t xml:space="preserve">Abfindungsbrennereien
ca. 0,60-0,80 € je LA
Verschlussbrenereien ca.
Feinbrände ca. 0,19- 0,37
Willi ca. 0,29-0,30
Apfel ca. 0,29
Wein ca. 0,34
Getreide ca. 0,29
Stammwürze ca. 0,21
Rohbrand Trester ca. 0,81
</t>
        </r>
        <r>
          <rPr>
            <sz val="9"/>
            <color indexed="81"/>
            <rFont val="Tahoma"/>
            <family val="2"/>
          </rPr>
          <t xml:space="preserve">
</t>
        </r>
      </text>
    </comment>
    <comment ref="B131" authorId="0" shapeId="0">
      <text>
        <r>
          <rPr>
            <b/>
            <sz val="9"/>
            <color indexed="81"/>
            <rFont val="Tahoma"/>
            <family val="2"/>
          </rPr>
          <t>0- ? Euro, überlegen was kostet es mich, benötige ich Schlepper mit Faß oder sonstiges!!!!!!
Bei Kanalentsorgung 0 eingeben</t>
        </r>
      </text>
    </comment>
    <comment ref="B132" authorId="0" shapeId="0">
      <text>
        <r>
          <rPr>
            <b/>
            <sz val="9"/>
            <color indexed="81"/>
            <rFont val="Tahoma"/>
            <family val="2"/>
          </rPr>
          <t>Hefe, Säure, Enzym, Antischaum</t>
        </r>
      </text>
    </comment>
    <comment ref="C138" authorId="0" shapeId="0">
      <text>
        <r>
          <rPr>
            <b/>
            <sz val="9"/>
            <color indexed="81"/>
            <rFont val="Tahoma"/>
            <family val="2"/>
          </rPr>
          <t>ca. 0,12 Euro je Liter</t>
        </r>
        <r>
          <rPr>
            <sz val="9"/>
            <color indexed="81"/>
            <rFont val="Tahoma"/>
            <family val="2"/>
          </rPr>
          <t xml:space="preserve">
</t>
        </r>
      </text>
    </comment>
    <comment ref="B140" authorId="0" shapeId="0">
      <text>
        <r>
          <rPr>
            <b/>
            <sz val="9"/>
            <color indexed="81"/>
            <rFont val="Tahoma"/>
            <family val="2"/>
          </rPr>
          <t xml:space="preserve">tatsächlich benötigte Zeit stoppen
</t>
        </r>
        <r>
          <rPr>
            <sz val="9"/>
            <color indexed="81"/>
            <rFont val="Tahoma"/>
            <family val="2"/>
          </rPr>
          <t xml:space="preserve">
</t>
        </r>
      </text>
    </comment>
    <comment ref="B141" authorId="0" shapeId="0">
      <text>
        <r>
          <rPr>
            <b/>
            <sz val="9"/>
            <color indexed="81"/>
            <rFont val="Tahoma"/>
            <family val="2"/>
          </rPr>
          <t xml:space="preserve">tatsächlich benötigte Zeit stoppen
</t>
        </r>
      </text>
    </comment>
  </commentList>
</comments>
</file>

<file path=xl/comments3.xml><?xml version="1.0" encoding="utf-8"?>
<comments xmlns="http://schemas.openxmlformats.org/spreadsheetml/2006/main">
  <authors>
    <author>Friz, Jürgen (LVWO)</author>
  </authors>
  <commentList>
    <comment ref="F4" authorId="0" shapeId="0">
      <text>
        <r>
          <rPr>
            <b/>
            <sz val="9"/>
            <color indexed="81"/>
            <rFont val="Segoe UI"/>
            <family val="2"/>
          </rPr>
          <t>Boden wird nicht abgeschrieben, muss aber finanziert werden</t>
        </r>
        <r>
          <rPr>
            <sz val="9"/>
            <color indexed="81"/>
            <rFont val="Segoe UI"/>
            <family val="2"/>
          </rPr>
          <t xml:space="preserve">
</t>
        </r>
      </text>
    </comment>
    <comment ref="G4" authorId="0" shapeId="0">
      <text>
        <r>
          <rPr>
            <b/>
            <sz val="9"/>
            <color indexed="81"/>
            <rFont val="Segoe UI"/>
            <family val="2"/>
          </rPr>
          <t xml:space="preserve">Boden wird nicht abgeschrieben, muss aber finanziert werden
</t>
        </r>
        <r>
          <rPr>
            <sz val="9"/>
            <color indexed="81"/>
            <rFont val="Segoe UI"/>
            <family val="2"/>
          </rPr>
          <t xml:space="preserve">
</t>
        </r>
      </text>
    </comment>
  </commentList>
</comments>
</file>

<file path=xl/comments4.xml><?xml version="1.0" encoding="utf-8"?>
<comments xmlns="http://schemas.openxmlformats.org/spreadsheetml/2006/main">
  <authors>
    <author>Friz, Jürgen (LVWO)</author>
  </authors>
  <commentList>
    <comment ref="B11" authorId="0" shapeId="0">
      <text>
        <r>
          <rPr>
            <sz val="9"/>
            <color indexed="81"/>
            <rFont val="Segoe UI"/>
            <family val="2"/>
          </rPr>
          <t xml:space="preserve">Lieferwagen, zusätzlichen Anhänger, oder Kombi/ Kastenwagen als zweites Fahrzeug
</t>
        </r>
      </text>
    </comment>
  </commentList>
</comments>
</file>

<file path=xl/comments5.xml><?xml version="1.0" encoding="utf-8"?>
<comments xmlns="http://schemas.openxmlformats.org/spreadsheetml/2006/main">
  <authors>
    <author>Friz, Jürgen (LVWO)</author>
    <author>Michelfelder, Uwe (LVWO-WE)</author>
  </authors>
  <commentList>
    <comment ref="B7" authorId="0" shapeId="0">
      <text>
        <r>
          <rPr>
            <b/>
            <sz val="9"/>
            <color indexed="81"/>
            <rFont val="Segoe UI"/>
            <family val="2"/>
          </rPr>
          <t>bei der Gemeinde erfragen</t>
        </r>
        <r>
          <rPr>
            <sz val="9"/>
            <color indexed="81"/>
            <rFont val="Segoe UI"/>
            <family val="2"/>
          </rPr>
          <t xml:space="preserve">
</t>
        </r>
      </text>
    </comment>
    <comment ref="A14" authorId="1" shapeId="0">
      <text>
        <r>
          <rPr>
            <sz val="9"/>
            <color indexed="81"/>
            <rFont val="Segoe UI"/>
            <family val="2"/>
          </rPr>
          <t xml:space="preserve">
entspricht im Wesentlichen dem Gewinn, deshalb hier vereinfachend der Gewinn (vor Steuern) verwendet</t>
        </r>
      </text>
    </comment>
  </commentList>
</comments>
</file>

<file path=xl/comments6.xml><?xml version="1.0" encoding="utf-8"?>
<comments xmlns="http://schemas.openxmlformats.org/spreadsheetml/2006/main">
  <authors>
    <author>Friz, Jürgen (LVWO)</author>
  </authors>
  <commentList>
    <comment ref="B8" authorId="0" shapeId="0">
      <text>
        <r>
          <rPr>
            <b/>
            <sz val="9"/>
            <color indexed="81"/>
            <rFont val="Segoe UI"/>
            <family val="2"/>
          </rPr>
          <t>z.B. Betriebsprämie, Mieteinnahmen, Pachteinnahmen</t>
        </r>
        <r>
          <rPr>
            <sz val="9"/>
            <color indexed="81"/>
            <rFont val="Segoe UI"/>
            <family val="2"/>
          </rPr>
          <t xml:space="preserve">
</t>
        </r>
      </text>
    </comment>
    <comment ref="C8" authorId="0" shapeId="0">
      <text>
        <r>
          <rPr>
            <b/>
            <sz val="9"/>
            <color indexed="81"/>
            <rFont val="Segoe UI"/>
            <family val="2"/>
          </rPr>
          <t>z.B. Betriebsprämie, Mieteinnahmen, Pachteinnahmen</t>
        </r>
        <r>
          <rPr>
            <sz val="9"/>
            <color indexed="81"/>
            <rFont val="Segoe UI"/>
            <family val="2"/>
          </rPr>
          <t xml:space="preserve">
</t>
        </r>
      </text>
    </comment>
    <comment ref="B20" authorId="0" shapeId="0">
      <text>
        <r>
          <rPr>
            <b/>
            <sz val="9"/>
            <color indexed="81"/>
            <rFont val="Segoe UI"/>
            <family val="2"/>
          </rPr>
          <t>für ständige und nicht- ständige Fremdarbeitskräfte</t>
        </r>
        <r>
          <rPr>
            <sz val="9"/>
            <color indexed="81"/>
            <rFont val="Segoe UI"/>
            <family val="2"/>
          </rPr>
          <t xml:space="preserve">
</t>
        </r>
      </text>
    </comment>
    <comment ref="C20" authorId="0" shapeId="0">
      <text>
        <r>
          <rPr>
            <b/>
            <sz val="9"/>
            <color indexed="81"/>
            <rFont val="Segoe UI"/>
            <family val="2"/>
          </rPr>
          <t>für ständige und nicht- ständige Fremdarbeitskräfte</t>
        </r>
        <r>
          <rPr>
            <sz val="9"/>
            <color indexed="81"/>
            <rFont val="Segoe UI"/>
            <family val="2"/>
          </rPr>
          <t xml:space="preserve">
</t>
        </r>
      </text>
    </comment>
    <comment ref="B21" authorId="0" shapeId="0">
      <text>
        <r>
          <rPr>
            <b/>
            <sz val="9"/>
            <color indexed="81"/>
            <rFont val="Segoe UI"/>
            <family val="2"/>
          </rPr>
          <t>für ständige und nicht- ständige Fremdarbeitskräfte</t>
        </r>
        <r>
          <rPr>
            <sz val="9"/>
            <color indexed="81"/>
            <rFont val="Segoe UI"/>
            <family val="2"/>
          </rPr>
          <t xml:space="preserve">
</t>
        </r>
      </text>
    </comment>
    <comment ref="C21" authorId="0" shapeId="0">
      <text>
        <r>
          <rPr>
            <b/>
            <sz val="9"/>
            <color indexed="81"/>
            <rFont val="Segoe UI"/>
            <family val="2"/>
          </rPr>
          <t>für ständige und nicht- ständige Fremdarbeitskräfte</t>
        </r>
        <r>
          <rPr>
            <sz val="9"/>
            <color indexed="81"/>
            <rFont val="Segoe UI"/>
            <family val="2"/>
          </rPr>
          <t xml:space="preserve">
</t>
        </r>
      </text>
    </comment>
    <comment ref="A40" authorId="0" shapeId="0">
      <text>
        <r>
          <rPr>
            <b/>
            <sz val="9"/>
            <color indexed="81"/>
            <rFont val="Segoe UI"/>
            <family val="2"/>
          </rPr>
          <t>keine Alkoholsteuer, die ist in den Produktionsverfahren berücksichtigt</t>
        </r>
        <r>
          <rPr>
            <sz val="9"/>
            <color indexed="81"/>
            <rFont val="Segoe UI"/>
            <family val="2"/>
          </rPr>
          <t xml:space="preserve">
</t>
        </r>
      </text>
    </comment>
    <comment ref="B42" authorId="0" shapeId="0">
      <text>
        <r>
          <rPr>
            <b/>
            <sz val="9"/>
            <color indexed="81"/>
            <rFont val="Segoe UI"/>
            <family val="2"/>
          </rPr>
          <t>nur auf betriebl. genutztes KFZ, ggf. anteilig, z.B. 3,5 t, lt. KFZ Steuerrechner BMF</t>
        </r>
        <r>
          <rPr>
            <sz val="9"/>
            <color indexed="81"/>
            <rFont val="Segoe UI"/>
            <family val="2"/>
          </rPr>
          <t xml:space="preserve">
</t>
        </r>
      </text>
    </comment>
    <comment ref="C42" authorId="0" shapeId="0">
      <text>
        <r>
          <rPr>
            <b/>
            <sz val="9"/>
            <color indexed="81"/>
            <rFont val="Segoe UI"/>
            <family val="2"/>
          </rPr>
          <t>nur auf betriebl. genutztes KFZ, ggf. anteilig, z.B. 3,5 t, lt. KFZ Steuerrechner BMF</t>
        </r>
        <r>
          <rPr>
            <sz val="9"/>
            <color indexed="81"/>
            <rFont val="Segoe UI"/>
            <family val="2"/>
          </rPr>
          <t xml:space="preserve">
</t>
        </r>
      </text>
    </comment>
  </commentList>
</comments>
</file>

<file path=xl/sharedStrings.xml><?xml version="1.0" encoding="utf-8"?>
<sst xmlns="http://schemas.openxmlformats.org/spreadsheetml/2006/main" count="728" uniqueCount="586">
  <si>
    <t>Gewinn und Rentabilität</t>
  </si>
  <si>
    <t>Erträge</t>
  </si>
  <si>
    <t>Liköre</t>
  </si>
  <si>
    <t>Geiste</t>
  </si>
  <si>
    <t>sonstige Erträge</t>
  </si>
  <si>
    <t>Summe</t>
  </si>
  <si>
    <t>Grundsteuer</t>
  </si>
  <si>
    <t>Lohnansatz</t>
  </si>
  <si>
    <t>Zinsansatz</t>
  </si>
  <si>
    <t>Inventar</t>
  </si>
  <si>
    <t>Jahr</t>
  </si>
  <si>
    <t>Afa/J.</t>
  </si>
  <si>
    <t>Afa/J. auf Wiederbesch.</t>
  </si>
  <si>
    <t>Nutzungsdauer</t>
  </si>
  <si>
    <t>Unterhalt (1% von A pro J.)</t>
  </si>
  <si>
    <t>Kapazität</t>
  </si>
  <si>
    <t>Gebäudeversicherung</t>
  </si>
  <si>
    <t>KFZ-Versicherung</t>
  </si>
  <si>
    <t>Haftpflicht</t>
  </si>
  <si>
    <t>sonstige Betriebsversicherung</t>
  </si>
  <si>
    <t>sonstiger Betriebsaufwand</t>
  </si>
  <si>
    <t>Strom</t>
  </si>
  <si>
    <t>Wasser</t>
  </si>
  <si>
    <t>Heizstoffe</t>
  </si>
  <si>
    <t>Treib- und Schmierstoffe</t>
  </si>
  <si>
    <t>Miete</t>
  </si>
  <si>
    <t>Pacht</t>
  </si>
  <si>
    <t>Leasing</t>
  </si>
  <si>
    <t>Beiträge für Verbände</t>
  </si>
  <si>
    <t>Steuerberatung, Buchführung</t>
  </si>
  <si>
    <t>Telekommunikation</t>
  </si>
  <si>
    <t>allg. Vertriebsaufwand</t>
  </si>
  <si>
    <t>sonstige Abgaben</t>
  </si>
  <si>
    <t>Bezeichnung</t>
  </si>
  <si>
    <t>Liter Maische dieser Charge</t>
  </si>
  <si>
    <t>Erzeugte Menge Rohalkohol dieser Charge in LA</t>
  </si>
  <si>
    <t>Füllmenge je Abtrieb regelmäßig</t>
  </si>
  <si>
    <t>Tatsächliche Menge Rohalkohol (Mittellauf) zum Verkauf in LA</t>
  </si>
  <si>
    <t>Abtriebe je Tag</t>
  </si>
  <si>
    <t>Dauer je Abtrieb in Stunden</t>
  </si>
  <si>
    <t>Tatsächliche Alkoholsteuer/ LA</t>
  </si>
  <si>
    <t>Verkaufsfähiges Destillat dieser Charge in Liter</t>
  </si>
  <si>
    <t>Anzahl verkaufsfähiges Destillat in Flaschen</t>
  </si>
  <si>
    <t>Wieviel % der Ausbeute sind selbstvermarktungsfähig</t>
  </si>
  <si>
    <t>Abtriebe gesamt bei dieser Charge</t>
  </si>
  <si>
    <t>Wieviel % vol soll das verkaufsfertige Destillat haben?</t>
  </si>
  <si>
    <t>Tatsächlicher Verkaufspreis der Flasche in €/ netto</t>
  </si>
  <si>
    <t>Gesamterlös Flaschenverkauf netto</t>
  </si>
  <si>
    <t>Verarbeitete Obstmenge dieser Charge in kg</t>
  </si>
  <si>
    <t>Alkoholsteuer € je LA</t>
  </si>
  <si>
    <t>Energiekosten Heizung</t>
  </si>
  <si>
    <t>Wasserkosten</t>
  </si>
  <si>
    <t>Variable Kosten der Schlempebeseitigung je Abtrieb</t>
  </si>
  <si>
    <t>Stromkosten</t>
  </si>
  <si>
    <t>Kosten von Zusatzstoffen (Hefe, Säure…) je 100 l Maische in €</t>
  </si>
  <si>
    <t>Schlempebeseitigung</t>
  </si>
  <si>
    <t>Kosten der Zusatzstoffe</t>
  </si>
  <si>
    <t>Filtrationsmaterial</t>
  </si>
  <si>
    <t>Einkaufspreis der Flasche pro Stück in €</t>
  </si>
  <si>
    <t>Einkaufspreis des Verschlusses pro Stück in €</t>
  </si>
  <si>
    <t>Flaschenkosten</t>
  </si>
  <si>
    <t>Stundenleistung beim Einmaischen in kg</t>
  </si>
  <si>
    <t>Filtrationsmaterial (Schichten) je Liter gefilterte Ware in €</t>
  </si>
  <si>
    <t>Zeitaufwand für Abfüllen und Etikettieren je Flasche in min.</t>
  </si>
  <si>
    <t>Zeitaufwand für das Verkaufen je Flasche in min.</t>
  </si>
  <si>
    <t>Gesamterlös dieser Charge netto</t>
  </si>
  <si>
    <t>abzüglich aller Kosten</t>
  </si>
  <si>
    <t>Gesamtarbeitszeit in Stunden</t>
  </si>
  <si>
    <t>Kernobst</t>
  </si>
  <si>
    <t>Steinobst</t>
  </si>
  <si>
    <t>Trester</t>
  </si>
  <si>
    <t>Getreide</t>
  </si>
  <si>
    <t>Selbst-
vermarktung</t>
  </si>
  <si>
    <t>Ergebnisse</t>
  </si>
  <si>
    <t>Anteile an den gesamten Kosten</t>
  </si>
  <si>
    <t>Gin</t>
  </si>
  <si>
    <t>Gesamte Maischemenge dieser Charge in Liter</t>
  </si>
  <si>
    <t>Verwendete Menge an Monopolsprit in LA</t>
  </si>
  <si>
    <t xml:space="preserve">Verwendete Menge an anderen Destillaten 1 in LA </t>
  </si>
  <si>
    <t xml:space="preserve">Verwendete Menge an anderen Destillaten 2 in LA </t>
  </si>
  <si>
    <t>Verwendete Menge an Zucker/ Flüssigzucker in kg/ L</t>
  </si>
  <si>
    <t>Verwendete Menge an weiteren Zusatzstoffen 1 in kg/ L</t>
  </si>
  <si>
    <t>Verwendete Menge an weiteren Zusatzstoffen 2 in kg/ L</t>
  </si>
  <si>
    <t>Verarbeitete Getreidemenge dieser Charge in kg</t>
  </si>
  <si>
    <t>Kosten des geschroteten Getreides je 100 kg in € netto</t>
  </si>
  <si>
    <t>Kosten des geschroteten Malzes je 100 kg in € netto</t>
  </si>
  <si>
    <t>Flaschengröße</t>
  </si>
  <si>
    <t>Zeitaufwand Einmaischen/ Ansetzen dieser Charge in Std.</t>
  </si>
  <si>
    <t>Wieviel LA Monopolsprit wird für diese Charge eingesetzt?</t>
  </si>
  <si>
    <t>Wieviel % der Ausbeute sind selbstvermarktungsfähig?</t>
  </si>
  <si>
    <t>Tatsächlicher Alkoholverlust bei der Destillation in LA</t>
  </si>
  <si>
    <t>Verarbeitete Botanicals dieser Charge in kg</t>
  </si>
  <si>
    <t>Gesamtmenge Likör dieser Charge in Liter</t>
  </si>
  <si>
    <t>Verarbeitete Obstmenge dieser Charge in Liter</t>
  </si>
  <si>
    <t>Energiekosten der Heizung in €</t>
  </si>
  <si>
    <t>Kosten des Obstes/ Getreides</t>
  </si>
  <si>
    <t>Bezugsgröße 100 LA Fertigware</t>
  </si>
  <si>
    <t>Tatsächlich eingesetzte Menge Rohalkohol</t>
  </si>
  <si>
    <t>Tatsächl. Menge Rohalk. VL und NL f. nächst. Abtrieb oder Verk. in LA</t>
  </si>
  <si>
    <t>Tatsächliche Kosten des Monopolsprits gesamt</t>
  </si>
  <si>
    <t>Kosten des Obstes/ Botanicals</t>
  </si>
  <si>
    <t>Verhältnis LA zu Obst</t>
  </si>
  <si>
    <t>1 zu</t>
  </si>
  <si>
    <t xml:space="preserve">Variable Kosten bei Flaschenverkauf                                         </t>
  </si>
  <si>
    <t>Tatsächlicher Verkaufspreis der Flasche in € netto</t>
  </si>
  <si>
    <t>Geist</t>
  </si>
  <si>
    <t>Fertiger Geist/Gin in LA</t>
  </si>
  <si>
    <t>Verkaufsfertiger Likör in Liter</t>
  </si>
  <si>
    <t>Verkaufsfähiger Likör in Stück Flaschen</t>
  </si>
  <si>
    <t>Kosten des Obstes</t>
  </si>
  <si>
    <t>Kosten Monopolsprit</t>
  </si>
  <si>
    <t>Kosten Destillat 1</t>
  </si>
  <si>
    <t>Kosten Destillat 2</t>
  </si>
  <si>
    <t>Kosten Zucker</t>
  </si>
  <si>
    <t>Kosten der Zusatzstoffe 1</t>
  </si>
  <si>
    <t>Kosten der Zusatzstoffe 2</t>
  </si>
  <si>
    <t>Filtrationskosten</t>
  </si>
  <si>
    <t>Likör</t>
  </si>
  <si>
    <t>Arbeitszeit pro LA</t>
  </si>
  <si>
    <t>Bezugsgröße 100 Liter</t>
  </si>
  <si>
    <t xml:space="preserve">Variable Kosten bei Flaschenverkauf                                             </t>
  </si>
  <si>
    <t>Variable Kosten netto</t>
  </si>
  <si>
    <t xml:space="preserve">Variable Kosten bei Flaschenverkauf                                        </t>
  </si>
  <si>
    <t>Fertiger Likör in Liter</t>
  </si>
  <si>
    <t>Arbeitszeit pro Liter Likör</t>
  </si>
  <si>
    <t>Variable Kosten netto pro LA</t>
  </si>
  <si>
    <t>Variable Kosten netto pro Liter</t>
  </si>
  <si>
    <t>davon in LA Kernobst</t>
  </si>
  <si>
    <t>in LA Steinobst</t>
  </si>
  <si>
    <t>in LA Trester</t>
  </si>
  <si>
    <t>in LA Getreide</t>
  </si>
  <si>
    <t>in LA Geiste</t>
  </si>
  <si>
    <t>in LA Gin</t>
  </si>
  <si>
    <t>in Liter Liköre</t>
  </si>
  <si>
    <t>pro LA</t>
  </si>
  <si>
    <t>pro Liter</t>
  </si>
  <si>
    <t>Flaschenware</t>
  </si>
  <si>
    <t>ist vom Benutzer auszufüllen/ veränderbar</t>
  </si>
  <si>
    <t>Zwischenergebnisfelder, sind nicht veränderbar</t>
  </si>
  <si>
    <t>Ergebnisfelder, sind nicht veränderbar</t>
  </si>
  <si>
    <t>Anteile an den gesamten Erlösen</t>
  </si>
  <si>
    <t>Drop Down Menü</t>
  </si>
  <si>
    <t>Abfallgebühren</t>
  </si>
  <si>
    <t>Zinssatz p.a.</t>
  </si>
  <si>
    <t>Arbeitszeit p. a. ist begrenzt; Annahme: 220 Arbeitstage mit 8 h/d = 1760 h</t>
  </si>
  <si>
    <t>Im Nebenerwerb (primär Samstage), Annahme: 48 Arbeitstage mit 8 h/d = 384 h</t>
  </si>
  <si>
    <t>Angenommenes Limit der verfügbaren Arbeitszeit:</t>
  </si>
  <si>
    <t>Umsatzerlöse Produkte</t>
  </si>
  <si>
    <t>Materialaufwand für Produkte</t>
  </si>
  <si>
    <t>sonstiger Materialaufwand</t>
  </si>
  <si>
    <t>(aus Tabellenblatt: sonst. Gemeinkosten)</t>
  </si>
  <si>
    <t>Personalaufwand</t>
  </si>
  <si>
    <t>(aus Tabellenblatt: Inventar)</t>
  </si>
  <si>
    <t>Bestandsveränderungen</t>
  </si>
  <si>
    <t>Unterhalt auf Sachanlagen</t>
  </si>
  <si>
    <t>sonstige betriebliche Aufwendungen</t>
  </si>
  <si>
    <t>Betriebsversicherungen</t>
  </si>
  <si>
    <t>Summe Aufwand</t>
  </si>
  <si>
    <t>Summe Ertrag</t>
  </si>
  <si>
    <t>über 100% - grün</t>
  </si>
  <si>
    <t>80% - 100% - gelb</t>
  </si>
  <si>
    <t>unter 80 %- rot</t>
  </si>
  <si>
    <t>Ampel:</t>
  </si>
  <si>
    <t>Berechnung der Nettorentabilität:</t>
  </si>
  <si>
    <t>Brennblasengröße</t>
  </si>
  <si>
    <t>Ø Ausnutzung der Brennblase in %</t>
  </si>
  <si>
    <t>Gesamterlös pro LA</t>
  </si>
  <si>
    <t>DB/ Akh</t>
  </si>
  <si>
    <t>DB, variable Kosten abgezogen</t>
  </si>
  <si>
    <t>Gesamtdeckungsbeitrag Brennerei</t>
  </si>
  <si>
    <t>Deckungsbeitrag je LA</t>
  </si>
  <si>
    <t>Anteile an den Deckungsbeiträgen</t>
  </si>
  <si>
    <r>
      <t xml:space="preserve">Gewinn/Verlust </t>
    </r>
    <r>
      <rPr>
        <sz val="9"/>
        <color theme="1"/>
        <rFont val="Arial"/>
        <family val="2"/>
      </rPr>
      <t>vor Steuern</t>
    </r>
  </si>
  <si>
    <r>
      <t xml:space="preserve">Gewinn/Verlust </t>
    </r>
    <r>
      <rPr>
        <sz val="9"/>
        <color theme="1"/>
        <rFont val="Arial"/>
        <family val="2"/>
      </rPr>
      <t>nach Steuern</t>
    </r>
  </si>
  <si>
    <t>Gewerbesteuer</t>
  </si>
  <si>
    <t>Ausgangsdaten</t>
  </si>
  <si>
    <t>Gewerbeertrag</t>
  </si>
  <si>
    <t>Rechtsform</t>
  </si>
  <si>
    <t>Einzelunternehmen</t>
  </si>
  <si>
    <t>dann würde "Einzelperson" gelten</t>
  </si>
  <si>
    <t>Hebesatz der Gemeinde</t>
  </si>
  <si>
    <t>Berechnung der Gewerbesteuer</t>
  </si>
  <si>
    <t>bei Einzelpersonen, Personengesellschaften</t>
  </si>
  <si>
    <t>Gewerbebetrag</t>
  </si>
  <si>
    <t>Abrundung auf nächste volle 100 €</t>
  </si>
  <si>
    <t>abzgl. Freibetrag 24.500 €</t>
  </si>
  <si>
    <t>kein Freibetrag</t>
  </si>
  <si>
    <t>x Steuermesszahl 3,5%</t>
  </si>
  <si>
    <t>Ergebnis: Steuermessbetrag</t>
  </si>
  <si>
    <t>x Hebesatz der Gemeinde</t>
  </si>
  <si>
    <t>Gewinn aus Gewerbebetrieb + Hinzurechnungen - Kürzungen = berichtigter Gewerbeertrag</t>
  </si>
  <si>
    <t>Eine Gewerbesteuererklärung abgeben müssen:</t>
  </si>
  <si>
    <t>Palettenwaage Kern, Auswertung Rohstoffe bzw. Steuerlager</t>
  </si>
  <si>
    <t>LAB Digitalrefraktometer PR-1 Atago</t>
  </si>
  <si>
    <t>Pumpe für Schlempe</t>
  </si>
  <si>
    <t>Pumpe: Maischepumpe SMH 50 mit Früchtetrichter</t>
  </si>
  <si>
    <t>Tank: Maischetanks V2A 1050 L Speidel</t>
  </si>
  <si>
    <t>Gebäude (Sandwichplattenhalle, 120 m²)</t>
  </si>
  <si>
    <t>Handhubwagen, 2t</t>
  </si>
  <si>
    <t>Materialaufwand</t>
  </si>
  <si>
    <t>Lohn/Gehalt Fremd-Ak</t>
  </si>
  <si>
    <t>Sozialversicherung Fremd-Ak.</t>
  </si>
  <si>
    <t xml:space="preserve">Abschreibungen  </t>
  </si>
  <si>
    <t>auf Sachanlagen, planmäßig</t>
  </si>
  <si>
    <t xml:space="preserve">Unterhaltung   </t>
  </si>
  <si>
    <t>Zinsen u. ä.</t>
  </si>
  <si>
    <t>(aus Tabellenblatt: Fremdkapital)</t>
  </si>
  <si>
    <t>sonstige Steuern</t>
  </si>
  <si>
    <t>KFZ-Steuer</t>
  </si>
  <si>
    <t xml:space="preserve">Zeitwert (Annahme: vergangene Jahre </t>
  </si>
  <si>
    <t>Holzfass</t>
  </si>
  <si>
    <t>Wieviel % vol soll das verkaufsfertige Fassdestillat haben?</t>
  </si>
  <si>
    <t>Zinssatz für den eingelagerten Rohalkohol</t>
  </si>
  <si>
    <t>Lagerverlust 1. Jahr</t>
  </si>
  <si>
    <t>Lagerverlust 2. Jahr</t>
  </si>
  <si>
    <t>Lagerverlust 3. Jahr</t>
  </si>
  <si>
    <t>Lagerverlust 4. Jahr</t>
  </si>
  <si>
    <t>Lagerverlust 5. Jahr</t>
  </si>
  <si>
    <t>Lagerverlust 6. Jahr</t>
  </si>
  <si>
    <t>Lagerverlust 7. Jahr</t>
  </si>
  <si>
    <t>Lagerverlust 8. Jahr</t>
  </si>
  <si>
    <t>Lagerverlust 9. Jahr</t>
  </si>
  <si>
    <t>Lagerverlust 10. Jahr</t>
  </si>
  <si>
    <t>Gesamtkosten Rohalkohol bei dieser Einlagerung in €</t>
  </si>
  <si>
    <t>Gesamtmenge Rohalkohol bei der Einlagerung in LA</t>
  </si>
  <si>
    <t>Gesamtmenge Fassdestillat bei Fassentnahme in LA</t>
  </si>
  <si>
    <t>Verluste durch Holzfasslagerung (Angel Share) in LA</t>
  </si>
  <si>
    <t>Verkaufsfähiges Fassdestillat dieser Charge in Liter</t>
  </si>
  <si>
    <t>Anzahl verkaufsfähiges Fassdestillat in Flaschen</t>
  </si>
  <si>
    <t>Destillat</t>
  </si>
  <si>
    <t xml:space="preserve">Verzinsung des eingelagerten Rohalkohols </t>
  </si>
  <si>
    <t>Variable Kosten bei Flaschenverkauf</t>
  </si>
  <si>
    <t>Ø variable Kosten je LA ohne Flaschen- und Filtrationsmaterial</t>
  </si>
  <si>
    <t>Alkoholkosten tatsächlich (Angel share eingerechnet) je LA</t>
  </si>
  <si>
    <t>Holzfaß</t>
  </si>
  <si>
    <t>Durchschnittliche tatsächliche Ausbeute in LA/ 100 L Maische</t>
  </si>
  <si>
    <t>Tatsächliche Menge Rohalkohol zur Vernichtung unter Zoll Aufsicht</t>
  </si>
  <si>
    <t>Tatsächliche Ausbeute in LA bei 100 kg Getreide bzw. Malz</t>
  </si>
  <si>
    <t>Fertige Maischemenge je 100 kg Getreide/ Malz</t>
  </si>
  <si>
    <t>Bezugsgröße Ausbeute in LA</t>
  </si>
  <si>
    <t>Kg Getreide/ Malz</t>
  </si>
  <si>
    <t>Variable Kosten gesamt netto</t>
  </si>
  <si>
    <t>Alkoholkosten, versteuert</t>
  </si>
  <si>
    <t>Alkoholsteuer</t>
  </si>
  <si>
    <t>Alkoholsteuer je LA</t>
  </si>
  <si>
    <t>Alkoholsteuer dieser Charge</t>
  </si>
  <si>
    <t>Alkolsteuer je LA</t>
  </si>
  <si>
    <t>Mwst. Satz</t>
  </si>
  <si>
    <t>Produktionstechnik</t>
  </si>
  <si>
    <t>Verkauf</t>
  </si>
  <si>
    <t>Zwischengebnisse</t>
  </si>
  <si>
    <t>Gesamte Menge an verkauften Bränden in LA</t>
  </si>
  <si>
    <t>Bezugsgröße 100 LA</t>
  </si>
  <si>
    <t>da sie teilweise monetär nicht erfasst werden können.</t>
  </si>
  <si>
    <t xml:space="preserve">In dieser Kalkulation sind die weiteren Vorteile einer Verschlusbrennerei gegenüber einer Abfindungsbrennerei nicht weiter berücksichtigt, </t>
  </si>
  <si>
    <t>größere Flexibilität usw.</t>
  </si>
  <si>
    <t xml:space="preserve">Dies sind zum Beispiel Steuerlager, Verluste im Steuerlager, sofortiger Brennbeginn nach der Entscheidung zum Brennen (Wetter), kein Anmelden, </t>
  </si>
  <si>
    <t>Holzfassprodukte</t>
  </si>
  <si>
    <t>Allgemeine Bedienungsanleitung</t>
  </si>
  <si>
    <r>
      <t xml:space="preserve">Bei der Erstellung dieser Berechnungsdateien wurde auf eine </t>
    </r>
    <r>
      <rPr>
        <b/>
        <sz val="11"/>
        <color theme="1"/>
        <rFont val="Arial"/>
        <family val="2"/>
      </rPr>
      <t xml:space="preserve">einfache und nicht zu </t>
    </r>
  </si>
  <si>
    <r>
      <rPr>
        <b/>
        <sz val="11"/>
        <color theme="1"/>
        <rFont val="Arial"/>
        <family val="2"/>
      </rPr>
      <t>umfangreiche</t>
    </r>
    <r>
      <rPr>
        <sz val="11"/>
        <color theme="1"/>
        <rFont val="Arial"/>
        <family val="2"/>
      </rPr>
      <t xml:space="preserve"> </t>
    </r>
    <r>
      <rPr>
        <b/>
        <sz val="11"/>
        <color theme="1"/>
        <rFont val="Arial"/>
        <family val="2"/>
      </rPr>
      <t>Datenerhebung</t>
    </r>
    <r>
      <rPr>
        <sz val="11"/>
        <color theme="1"/>
        <rFont val="Arial"/>
        <family val="2"/>
      </rPr>
      <t xml:space="preserve"> Wert gelegt. Ziel war es trotzdem möglichst genaue Zahlen </t>
    </r>
  </si>
  <si>
    <t>einzusetzen um möglichst genaue Ergebnisse zu erhalten.</t>
  </si>
  <si>
    <t>Farbliche Kennzeichnung der verschiedenen Felder:</t>
  </si>
  <si>
    <t>Hinter diesen Feldern steckt ein Drop Down Menü</t>
  </si>
  <si>
    <r>
      <t>Diese Felder sind mit möglichst genauen</t>
    </r>
    <r>
      <rPr>
        <b/>
        <sz val="11"/>
        <color theme="1"/>
        <rFont val="Arial"/>
        <family val="2"/>
      </rPr>
      <t xml:space="preserve"> </t>
    </r>
    <r>
      <rPr>
        <b/>
        <sz val="11"/>
        <color rgb="FFFF0000"/>
        <rFont val="Arial"/>
        <family val="2"/>
      </rPr>
      <t>eigenen</t>
    </r>
    <r>
      <rPr>
        <b/>
        <sz val="11"/>
        <color theme="1"/>
        <rFont val="Arial"/>
        <family val="2"/>
      </rPr>
      <t xml:space="preserve"> </t>
    </r>
    <r>
      <rPr>
        <sz val="11"/>
        <color theme="1"/>
        <rFont val="Arial"/>
        <family val="2"/>
      </rPr>
      <t>Zahlen zu füllen.</t>
    </r>
  </si>
  <si>
    <t>Je genauer die Eingabe, desto genauer das Ergebnis.</t>
  </si>
  <si>
    <t>Diese Felder sind Zwischenergebnisse</t>
  </si>
  <si>
    <t>Sie können nicht verändert werden.</t>
  </si>
  <si>
    <r>
      <t xml:space="preserve">Beim Berühren dieses Feldes </t>
    </r>
    <r>
      <rPr>
        <sz val="11"/>
        <rFont val="Arial"/>
        <family val="2"/>
      </rPr>
      <t xml:space="preserve">(mit kleinem rotem Dreieck in der rechten oberen </t>
    </r>
  </si>
  <si>
    <t xml:space="preserve">Ecke) mit der Maus geht ein Kommentarfeld auf. Hier sind Daten oder Hinweise </t>
  </si>
  <si>
    <t>hinterlegt.</t>
  </si>
  <si>
    <t xml:space="preserve">Füllen Sie hier alle gelben Felder am Besten mit eigenen Zahlen. Starten Sie bei der </t>
  </si>
  <si>
    <t>Dies wirkt sich nicht aus.</t>
  </si>
  <si>
    <t>Geben Sie hier Ihre verkauften Liter Alkohol je Produktgruppe ein.</t>
  </si>
  <si>
    <t>(aus Tabellenblatt: Produkte Verschluss)</t>
  </si>
  <si>
    <t>Hier haben Sie keinen Zugriff.</t>
  </si>
  <si>
    <t>in den Reiter Gewinn- Rentabilität.</t>
  </si>
  <si>
    <t xml:space="preserve">Die Rechenoperationen laufen größtenteils im Hintergrund. </t>
  </si>
  <si>
    <t>DB/ Akh in der Brennerei</t>
  </si>
  <si>
    <t>je Produkt.</t>
  </si>
  <si>
    <t>Hier sehen Sie auch Ihre Arbeitszeit in der Brennerei und den DB/ AKh in der Brennerei. Diesen</t>
  </si>
  <si>
    <t>können Sie mit anderen Produktionsverfahren vergleichen.</t>
  </si>
  <si>
    <t>Vakuumfüller Enolmatic</t>
  </si>
  <si>
    <t>Verschlussbrennerei</t>
  </si>
  <si>
    <t>bestem Wissen aus.</t>
  </si>
  <si>
    <t>Produktionsverfahren zugeordnet werden können.</t>
  </si>
  <si>
    <t>Auszahlungstermin</t>
  </si>
  <si>
    <t>Nr.</t>
  </si>
  <si>
    <t>Zahlungs-datum</t>
  </si>
  <si>
    <t>Annuität</t>
  </si>
  <si>
    <t>Tilgung</t>
  </si>
  <si>
    <t>Zinsen</t>
  </si>
  <si>
    <t>Laufzeit in Jahren</t>
  </si>
  <si>
    <t>monatl. Sondertilgung</t>
  </si>
  <si>
    <t>Planmässige monatliche Annuität</t>
  </si>
  <si>
    <t>Anzahl planmässiger Zahlungen</t>
  </si>
  <si>
    <t>Anzahl tatsächlicher Zahlungen</t>
  </si>
  <si>
    <t>Sondertilgung gesamt</t>
  </si>
  <si>
    <t>Zinsen gesamt</t>
  </si>
  <si>
    <t>Zahlungsplan</t>
  </si>
  <si>
    <t>Restschuld am Monatsanfang</t>
  </si>
  <si>
    <t>Sonder-tilgung</t>
  </si>
  <si>
    <t>Zahlung Gesamtbetrag</t>
  </si>
  <si>
    <t>Restschuld am Monatsende</t>
  </si>
  <si>
    <t>bei Kapitalgesellschaften</t>
  </si>
  <si>
    <t>Kapitalgesellschaften</t>
  </si>
  <si>
    <t>Akh/ Jahr (aus Tabellenblatt: Produkte Verschluss)</t>
  </si>
  <si>
    <t>Zinssatz (aus Agrarbericht)</t>
  </si>
  <si>
    <t>werden können.</t>
  </si>
  <si>
    <t>Lohnansatz + Zinsansatz</t>
  </si>
  <si>
    <t>Produkte in der Verschlussbrennerei</t>
  </si>
  <si>
    <t>Nettorentabilität in %</t>
  </si>
  <si>
    <t>Lohnansatz berechnen</t>
  </si>
  <si>
    <t>Eigenkapital</t>
  </si>
  <si>
    <t>Eigenkapital berechnen</t>
  </si>
  <si>
    <t>Gewinn x 100</t>
  </si>
  <si>
    <t>Unten können Sie dann Ihr Betriebsergebnis sehen und einschätzen.</t>
  </si>
  <si>
    <t>Produktionsverfahren zuzuordnen sind</t>
  </si>
  <si>
    <t>allgemeine Anteile, die nicht den</t>
  </si>
  <si>
    <t>Reinigung</t>
  </si>
  <si>
    <t>Rahmendaten</t>
  </si>
  <si>
    <t>Fremdkapitalrechner</t>
  </si>
  <si>
    <t>Weitere Informationen</t>
  </si>
  <si>
    <t>Büro, etc.</t>
  </si>
  <si>
    <t>Summe Gemeinkosten</t>
  </si>
  <si>
    <t>durchschnittlich</t>
  </si>
  <si>
    <t>Werte für Unternehmensanalyse</t>
  </si>
  <si>
    <t>Zinsen jährlich durchschnittlich</t>
  </si>
  <si>
    <t>Darlehensbetrag in Euro</t>
  </si>
  <si>
    <t>Sonstige Gemeinkosten, das große Rätselraten</t>
  </si>
  <si>
    <t xml:space="preserve">Grundlage der Steuerberechnung ist der "berichtigte Gewerbeertrag". </t>
  </si>
  <si>
    <t>hierfür gilt folgender Rechenweg:</t>
  </si>
  <si>
    <t>Hinzurechnungen (§ 8 GewStG) sind:</t>
  </si>
  <si>
    <t>Kürzungen (§ 9 GewStG) sind:</t>
  </si>
  <si>
    <r>
      <t xml:space="preserve">wichtig: </t>
    </r>
    <r>
      <rPr>
        <b/>
        <sz val="11"/>
        <color theme="1"/>
        <rFont val="Arial"/>
        <family val="2"/>
      </rPr>
      <t>Gewerbesteuer ist keine Betriebsausgabe.</t>
    </r>
  </si>
  <si>
    <t>Anrechnung der Gewerbesteuer auf die Einkommensteuer</t>
  </si>
  <si>
    <t>Die Anrechnung ist in dieser Kalkulation nicht berücksichtigt.</t>
  </si>
  <si>
    <t>Bei den Hinzurechnungen gibt es einen Freibetrag von 100.000,00 €/ Jahr.</t>
  </si>
  <si>
    <t>einem Finanzierungsanteil von 20%, bei unbeweglichen von 50 %,</t>
  </si>
  <si>
    <t>Erläuterungen zur Gewerbesteuer</t>
  </si>
  <si>
    <t>• 25% aller Zinsen,</t>
  </si>
  <si>
    <t>• 25% der gesamten Aufwendungen für Renten, dauernde Lasten, Gewinnanteile stiller</t>
  </si>
  <si>
    <t>• 25% der Aufwendungen für Lizenzen, Konzessionen, mit einem Finanzierungsanteil von 25 %,</t>
  </si>
  <si>
    <t xml:space="preserve">• 25 % der Aufwendungen für Mieten, Pachten und Leasingraten, bei beweglichen Gütern mit </t>
  </si>
  <si>
    <t>• 1,2 % des Einheitswerts des zum Betriebsvermögen des Unternehmers gehörenden</t>
  </si>
  <si>
    <t xml:space="preserve">  Grundbesitzes,</t>
  </si>
  <si>
    <t xml:space="preserve">  Gesellschafter,</t>
  </si>
  <si>
    <t>• Anteile am Gewinn einer Personengesellschaft oder Kapitalgesellschaft,</t>
  </si>
  <si>
    <t>• Spenden, Mitgliedsbeiträge zur Förderung steuerbegünstigter Zwecke,</t>
  </si>
  <si>
    <t>gelegene Betriebsstätte entfällt.</t>
  </si>
  <si>
    <t xml:space="preserve">Der Teil des Gewerbeertrags eines inländischen Unternehmens, der auf eine nicht im Inland </t>
  </si>
  <si>
    <t>In dieser Kalkulation wird aus Vereinfachungsgründen von keinen Hinzurechnungen</t>
  </si>
  <si>
    <t xml:space="preserve">• alle gewerbesteuerpflichtigen Einzelunternehmen und Personengesellschaften, deren </t>
  </si>
  <si>
    <t>• Kapitalgesellschaften,</t>
  </si>
  <si>
    <t>• Vereine, die einen wirtschaftlichen Geschäftsbetrieb unterhalten und deren Gewerbeertrag</t>
  </si>
  <si>
    <t xml:space="preserve"> im Erhebungszeitraum 5.000 € überstiegen hat.</t>
  </si>
  <si>
    <t xml:space="preserve">Die Verpflichtung zur Abgabe der Gewerbesteuererklärung zieht die Verpflichtung zu </t>
  </si>
  <si>
    <t xml:space="preserve">Vorauszahlungen nach sich. </t>
  </si>
  <si>
    <t>Die Vorauszahlungen, die vierteljährlich zum 15.02., 15.05. 15.08. und 15.11. zu leisten sind,</t>
  </si>
  <si>
    <t xml:space="preserve">werden normalerweise durch den letzten Gewerbesteuerbescheid festgesetzt. </t>
  </si>
  <si>
    <t>Bei Personenunternehmen erfolgt eine Kompensation der Gewerbesteuer durch die</t>
  </si>
  <si>
    <t>Somit kann die Gewerbesteuer i. d. R. bis zu einem Hebesatz von 380 % komplett auf</t>
  </si>
  <si>
    <t>die Einkommensteuer angerechnet werden.</t>
  </si>
  <si>
    <t>und Kürzungen ausgegangen.</t>
  </si>
  <si>
    <t>Berechnung der Körperschaftsteuer</t>
  </si>
  <si>
    <t>nur bei Kapitalgesellschaften</t>
  </si>
  <si>
    <t>x Körperschaftsteuersatz (einheitlich)</t>
  </si>
  <si>
    <t>Erläuterungen zur Körperschaftsteuer</t>
  </si>
  <si>
    <t>steuerpflichtig:</t>
  </si>
  <si>
    <t>juristische Personen (z. B. AG, GmbH, Genossenschaften, Vereine)</t>
  </si>
  <si>
    <t>Befreiung:</t>
  </si>
  <si>
    <t xml:space="preserve">Besteuerungsgrundlage: </t>
  </si>
  <si>
    <t>Erwerbs- und Wirtschaftsgenossenschaften, Vereine, soweit sich</t>
  </si>
  <si>
    <t xml:space="preserve">ihr Geschäftsbereich auf Dienstleistung für die Mitgliedsbetriebe </t>
  </si>
  <si>
    <t xml:space="preserve">beschränkt. </t>
  </si>
  <si>
    <t>Steuersatz:</t>
  </si>
  <si>
    <t>Freibetrag:</t>
  </si>
  <si>
    <t>einheitlich 15 % auf einbehaltenen und ausgeschüttete Gewinne</t>
  </si>
  <si>
    <t xml:space="preserve">für Vereine 5.000 € </t>
  </si>
  <si>
    <t>Was als Einkommen gilt und wie das Einkommen zu ermitteln ist, richtet sich nach den</t>
  </si>
  <si>
    <t>Vorschriften des Einkommensteuergesetzes. Aufgrund besonderer Vorschriften des KStG</t>
  </si>
  <si>
    <t>sind außerdem verdeckte Gewinnausschüttungen zu berücksichtigen.</t>
  </si>
  <si>
    <t xml:space="preserve">das Einkommen, das die Körperschaft innerhalb des Kalenderjahrs </t>
  </si>
  <si>
    <t>bezogen hat.</t>
  </si>
  <si>
    <t>Erläuterungen zum Solidaritätszuschlag</t>
  </si>
  <si>
    <t>Solidaritätszuschlag</t>
  </si>
  <si>
    <t>Berechnungsgrundlage</t>
  </si>
  <si>
    <t>Zuschlagssatz</t>
  </si>
  <si>
    <t>die individuelle</t>
  </si>
  <si>
    <t xml:space="preserve"> Einkommensteuer</t>
  </si>
  <si>
    <t>die erhobene Körperschaftsteuer</t>
  </si>
  <si>
    <t>individuell</t>
  </si>
  <si>
    <t>Bemessungsgrundlage:</t>
  </si>
  <si>
    <t>• die Einkommensteuer (damit auch Lohn- Abgeltungsteuer),</t>
  </si>
  <si>
    <t>• die Körperschaftsteuer</t>
  </si>
  <si>
    <t>Steuerhöhe:</t>
  </si>
  <si>
    <t>pro Person</t>
  </si>
  <si>
    <t>Freibetrag bei Lohnsteuer:</t>
  </si>
  <si>
    <t>Der 5,5-prozentige Solidaritätszuschlag fällt weiterhin bei der Körperschaftsteuer an.</t>
  </si>
  <si>
    <t>Auch Kapitalanleger, deren Kapitalerträge mit der 25-prozentigen Abgeltungsteuer besteuert</t>
  </si>
  <si>
    <t>werden, müssen 2021 zusätzlich zur Abgeltungsteuer den Solidaritätszuschlag bezahlen.</t>
  </si>
  <si>
    <t>Auch bei Pauschalierung der Lohnsteues fällt weiterhin der Solidaritätszuschlag an.</t>
  </si>
  <si>
    <t xml:space="preserve">Freibetrag pro Person bei Lohnsteuer </t>
  </si>
  <si>
    <t xml:space="preserve">nochmals der Einkommensbesteuerung als Einkünfte aus Kapitalvermögen. Ausschüttungen </t>
  </si>
  <si>
    <t xml:space="preserve">aus Anteilen, die im Privatvermögen des Gesellschafters gehalten werden, werden regelmäßig </t>
  </si>
  <si>
    <t>mit einem Abgeltungsteuersatz von 25 Prozent besteuert.</t>
  </si>
  <si>
    <r>
      <t xml:space="preserve">Steuern auf Ertrag </t>
    </r>
    <r>
      <rPr>
        <sz val="9"/>
        <color theme="1"/>
        <rFont val="Arial"/>
        <family val="2"/>
      </rPr>
      <t>(Gewerbe-, Körperschaftssteuer 
inkl. Soli)daritätszuschlag, soweit berechenbar)</t>
    </r>
  </si>
  <si>
    <t xml:space="preserve"> in vereinfachter Betrachtung </t>
  </si>
  <si>
    <t>Gewinnausschüttungen von der Kapitalgesellschaft an die Gesellschafter unterlieg. bei diesem</t>
  </si>
  <si>
    <t>Ergebnis: zu zahlende Gewerbesteuer</t>
  </si>
  <si>
    <t>Ergebnis: zu zahlende Körperschaftsteuer</t>
  </si>
  <si>
    <t>Ergebnis: zu zahlender Solidaritätszuschlag</t>
  </si>
  <si>
    <t>Bei Fragen, Wünschen und Anmerkungen wenden Sie sich bitte per Mail an:</t>
  </si>
  <si>
    <t>juergen.friz@lvwo.bwl.de</t>
  </si>
  <si>
    <t>Die Benutzung der Kalkulationshilfe erfolgt ohne Gewähr!!!!!</t>
  </si>
  <si>
    <t>Gesamtsumme</t>
  </si>
  <si>
    <t xml:space="preserve">Anrechnung des 3,8 - fachen des Gewebesteuermessbetrages auf die Einkommensteuer. </t>
  </si>
  <si>
    <t xml:space="preserve">  Gewerbeertrag im Erhebungszeitraum den Freibetrag von 24.500 € überstiegen hat,</t>
  </si>
  <si>
    <t>Eine noch genauere Erfassung wäre möglich, dann wäre aber die Einfachheit nicht mehr gegeben.</t>
  </si>
  <si>
    <r>
      <t>Klicken Sie auf das Feld, dann erscheint ein Pfeil. Klicken Sie nun a</t>
    </r>
    <r>
      <rPr>
        <sz val="11"/>
        <rFont val="Arial"/>
        <family val="2"/>
      </rPr>
      <t xml:space="preserve">uf den Pfeil,  </t>
    </r>
  </si>
  <si>
    <t>dann kann hier ein Wert ausgewählt werden.</t>
  </si>
  <si>
    <t>übernommen.</t>
  </si>
  <si>
    <t>Haben Sie eine Produktgruppe nicht, können Sie die Zahlen auch stehen lassen.</t>
  </si>
  <si>
    <r>
      <rPr>
        <b/>
        <sz val="11"/>
        <color theme="1"/>
        <rFont val="Arial"/>
        <family val="2"/>
      </rPr>
      <t>Produktionstechnik</t>
    </r>
    <r>
      <rPr>
        <sz val="11"/>
        <color theme="1"/>
        <rFont val="Arial"/>
        <family val="2"/>
      </rPr>
      <t>. Nehmen Sie hier immer Ihre durchschnittlichen Zahlen.</t>
    </r>
  </si>
  <si>
    <r>
      <t xml:space="preserve">Haben Sie die Produktionstechnik fertig, gehen Sie in den Bereich </t>
    </r>
    <r>
      <rPr>
        <b/>
        <sz val="11"/>
        <color theme="1"/>
        <rFont val="Arial"/>
        <family val="2"/>
      </rPr>
      <t>Verkauf</t>
    </r>
    <r>
      <rPr>
        <sz val="11"/>
        <color theme="1"/>
        <rFont val="Arial"/>
        <family val="2"/>
      </rPr>
      <t>.</t>
    </r>
  </si>
  <si>
    <t>Verkaufen Sie von einer Produktgruppe nichts, geben Sie 0 ein, sonst ist keine korrekte</t>
  </si>
  <si>
    <t>Berechnung möglich.</t>
  </si>
  <si>
    <r>
      <t xml:space="preserve">Im oberen Block </t>
    </r>
    <r>
      <rPr>
        <b/>
        <sz val="11"/>
        <color theme="1"/>
        <rFont val="Arial"/>
        <family val="2"/>
      </rPr>
      <t>Zwischenergebnisse</t>
    </r>
    <r>
      <rPr>
        <sz val="11"/>
        <color theme="1"/>
        <rFont val="Arial"/>
        <family val="2"/>
      </rPr>
      <t xml:space="preserve"> sehen Sie die Ergebnisse pro LA bzw, den DB je AKh</t>
    </r>
  </si>
  <si>
    <r>
      <t xml:space="preserve">Im unteren Block </t>
    </r>
    <r>
      <rPr>
        <b/>
        <sz val="11"/>
        <color theme="1"/>
        <rFont val="Arial"/>
        <family val="2"/>
      </rPr>
      <t>Zwischenergebnisse</t>
    </r>
    <r>
      <rPr>
        <sz val="11"/>
        <color theme="1"/>
        <rFont val="Arial"/>
        <family val="2"/>
      </rPr>
      <t xml:space="preserve"> sehen Sie die Ergebnisse anhand Ihrer verkauften Menge </t>
    </r>
  </si>
  <si>
    <t>im Block Verkauf.</t>
  </si>
  <si>
    <r>
      <t>Im Block</t>
    </r>
    <r>
      <rPr>
        <b/>
        <sz val="11"/>
        <color theme="1"/>
        <rFont val="Arial"/>
        <family val="2"/>
      </rPr>
      <t xml:space="preserve"> Ergebnisse</t>
    </r>
    <r>
      <rPr>
        <sz val="11"/>
        <color theme="1"/>
        <rFont val="Arial"/>
        <family val="2"/>
      </rPr>
      <t xml:space="preserve"> ist der untere Block Zwischenergebnisse zusammengefasst zur Übernahme</t>
    </r>
  </si>
  <si>
    <r>
      <t xml:space="preserve">Wenn Sie das </t>
    </r>
    <r>
      <rPr>
        <b/>
        <sz val="11"/>
        <color theme="1"/>
        <rFont val="Arial"/>
        <family val="2"/>
      </rPr>
      <t>Blatt Produkte Verschluss</t>
    </r>
    <r>
      <rPr>
        <sz val="11"/>
        <color theme="1"/>
        <rFont val="Arial"/>
        <family val="2"/>
      </rPr>
      <t xml:space="preserve"> fertig haben, füllen Sie bitte das </t>
    </r>
    <r>
      <rPr>
        <b/>
        <sz val="11"/>
        <color theme="1"/>
        <rFont val="Arial"/>
        <family val="2"/>
      </rPr>
      <t>Blatt Inventar</t>
    </r>
    <r>
      <rPr>
        <sz val="11"/>
        <color theme="1"/>
        <rFont val="Arial"/>
        <family val="2"/>
      </rPr>
      <t xml:space="preserve"> nach</t>
    </r>
  </si>
  <si>
    <t xml:space="preserve">Diese Felder sind Ergebnisfelder. Sie werden in das Blatt "Gewinn- Rentabilität" </t>
  </si>
  <si>
    <r>
      <t xml:space="preserve">Beginnen </t>
    </r>
    <r>
      <rPr>
        <sz val="11"/>
        <color theme="1"/>
        <rFont val="Arial"/>
        <family val="2"/>
      </rPr>
      <t>Sie mit dem Ausfüllen beim</t>
    </r>
    <r>
      <rPr>
        <b/>
        <sz val="11"/>
        <color theme="1"/>
        <rFont val="Arial"/>
        <family val="2"/>
      </rPr>
      <t xml:space="preserve"> Blatt Produkte Verschluss.</t>
    </r>
  </si>
  <si>
    <r>
      <t>Anschließend das</t>
    </r>
    <r>
      <rPr>
        <b/>
        <sz val="11"/>
        <color theme="1"/>
        <rFont val="Arial"/>
        <family val="2"/>
      </rPr>
      <t xml:space="preserve"> Blatt sonst. Gemeinkosten</t>
    </r>
    <r>
      <rPr>
        <sz val="11"/>
        <color theme="1"/>
        <rFont val="Arial"/>
        <family val="2"/>
      </rPr>
      <t xml:space="preserve"> ausfüllen, sofern die Kosten nicht speziellen</t>
    </r>
  </si>
  <si>
    <r>
      <t xml:space="preserve">Im </t>
    </r>
    <r>
      <rPr>
        <b/>
        <sz val="11"/>
        <color theme="1"/>
        <rFont val="Arial"/>
        <family val="2"/>
      </rPr>
      <t>Blatt Fremdkapital</t>
    </r>
    <r>
      <rPr>
        <sz val="11"/>
        <color theme="1"/>
        <rFont val="Arial"/>
        <family val="2"/>
      </rPr>
      <t xml:space="preserve"> füllen Sie, sofern Sie Fremdkapital haben, bitte die gelben Felder aus</t>
    </r>
  </si>
  <si>
    <t>Die Berechnungen im Blatt Gewerbe-, Körperschaftsteuer erfolgen ohne weitere Eingaben.</t>
  </si>
  <si>
    <r>
      <t xml:space="preserve">Im </t>
    </r>
    <r>
      <rPr>
        <b/>
        <sz val="11"/>
        <color theme="1"/>
        <rFont val="Arial"/>
        <family val="2"/>
      </rPr>
      <t>Blatt Anmerkungen zu den Steuern</t>
    </r>
    <r>
      <rPr>
        <sz val="11"/>
        <color theme="1"/>
        <rFont val="Arial"/>
        <family val="2"/>
      </rPr>
      <t xml:space="preserve"> sehen Sie wie die Gewerbe- und Körperschaftssteuer </t>
    </r>
  </si>
  <si>
    <t>und der Solidaritätszuschlag berechnet wird.</t>
  </si>
  <si>
    <r>
      <t xml:space="preserve">Bei </t>
    </r>
    <r>
      <rPr>
        <b/>
        <sz val="11"/>
        <color theme="1"/>
        <rFont val="Arial"/>
        <family val="2"/>
      </rPr>
      <t>Gewinn- Rentabilität</t>
    </r>
    <r>
      <rPr>
        <sz val="11"/>
        <color theme="1"/>
        <rFont val="Arial"/>
        <family val="2"/>
      </rPr>
      <t xml:space="preserve"> müssen Sie noch die gelben Felder, wo es nötig ist, ausfüllen. </t>
    </r>
  </si>
  <si>
    <t>Wieviel % der Ausbeute sind selbstvermarktungs- oder fasslagerfähig?</t>
  </si>
  <si>
    <t>Wieviel % vol soll das verkaufsfähige Destillat haben?</t>
  </si>
  <si>
    <t>Zeitaufwand Einmaischen/ Ansetzen dieser Charge in Stunden</t>
  </si>
  <si>
    <t>Wasserzusatz gesamt in Liter</t>
  </si>
  <si>
    <t>Zeitaufwand für die Saftproduktion- und Verarbeitung in Stunden</t>
  </si>
  <si>
    <t>Zeitaufwand dieser Charge zum Ausmischen und Filtern in Stunden</t>
  </si>
  <si>
    <t>Holzfassgelagerte Produkte in LA</t>
  </si>
  <si>
    <t>Dauer des Holzfassmanagementes in Stunden/Jahr</t>
  </si>
  <si>
    <t xml:space="preserve">Wasserkosten in €/LA </t>
  </si>
  <si>
    <t>Stromkosten pauschal 3 €/Tag</t>
  </si>
  <si>
    <t>Flaschengröße in der vermarktet werden soll, in Liter</t>
  </si>
  <si>
    <t>Einkaufspreis der Flaschenausstattung (Etikett, Kapsel..) pro Stück in €</t>
  </si>
  <si>
    <t>Tatsächlicher Verkaufspreis der Flasche in € (brutto)</t>
  </si>
  <si>
    <t>Gesamte Menge an verkauften Geisten, Gin und Likören in LA</t>
  </si>
  <si>
    <t>Holzfasslag.</t>
  </si>
  <si>
    <t>Deckungsbeitrag je Akh</t>
  </si>
  <si>
    <t>Gesamtsumme der Kosten (Übernahme in Blatt Rentabilität)</t>
  </si>
  <si>
    <t>Gesamtsumme der Erlöse (Übernahme in Blatt Rentabilität)</t>
  </si>
  <si>
    <t>Gesamtsumme der Arbeitszeit (Übernahme in Blatt Rentabilität)</t>
  </si>
  <si>
    <t>Mit 8 Stunden pro Tag Arbeitszeit ist produktives Arbeiten gemeint, nicht "Fachsimpeln mit dem Nachbarn" oder "Kundendiskussionen".</t>
  </si>
  <si>
    <t>Grundstück (mit 120 Euro/m²  tief angesetzt, 400 m²)</t>
  </si>
  <si>
    <t>Filter: Schichtenfilter 40er, fahrbar</t>
  </si>
  <si>
    <t>Pumpe: Impellerpumpe (Flüssigkeiten, Filtration)</t>
  </si>
  <si>
    <t>Maischebehälter für stärkehaltige Rohstoffe (Whisky)</t>
  </si>
  <si>
    <t>neue IBC 1000 L (Palettentanks) je Einheit, 8 Stück</t>
  </si>
  <si>
    <t>Anschaffungs-wert</t>
  </si>
  <si>
    <t>Wiederbeschaf-fungswert</t>
  </si>
  <si>
    <t xml:space="preserve">z. B. allgemeine Beleuchtung, Heizung, </t>
  </si>
  <si>
    <t>Rechtsschutz</t>
  </si>
  <si>
    <t>soweit nicht bei den Produktionsverfahren</t>
  </si>
  <si>
    <t>Verpackungsmaterial, ggf. Versandkosten)</t>
  </si>
  <si>
    <t>Annuitätendarlehen</t>
  </si>
  <si>
    <t>Anteile an der Arbeitszeit in Akh</t>
  </si>
  <si>
    <t>Arbeitszeit pro LA in Akh</t>
  </si>
  <si>
    <t>Tatsächl. Zeitaufwand zum Herabsetzen und Filtern in Stunden</t>
  </si>
  <si>
    <t xml:space="preserve">berücksichtigt. (Verkaufsraum,  </t>
  </si>
  <si>
    <t>davon Feld G38 sind Getreide kg</t>
  </si>
  <si>
    <t>davon Feld G38 sind Malz kg</t>
  </si>
  <si>
    <t>Energiekosten beim Einmaischen je 100 kg Getreide in € netto</t>
  </si>
  <si>
    <t>Wasserkosten beim Einmaischen je 100 kg Getreide in € netto</t>
  </si>
  <si>
    <t>Rentabilität</t>
  </si>
  <si>
    <t>haben (z. B. Eigenkapital, Gesamtkapital, Umsatz, Arbeit).</t>
  </si>
  <si>
    <t>Analyse der Ergebnisse</t>
  </si>
  <si>
    <t>• Die Entlohnung der Familien-Arbeitskräfte und damit Lebenshaltung,</t>
  </si>
  <si>
    <t xml:space="preserve">  private Versicherungen, private Steuern;</t>
  </si>
  <si>
    <t>• die Verzinsung des Eigenkapitals;</t>
  </si>
  <si>
    <t>• die Tilgung der Darlehen;</t>
  </si>
  <si>
    <t xml:space="preserve">  und der Unternehmergewinn (Entlohnung der Unternehmertätigkeit</t>
  </si>
  <si>
    <t xml:space="preserve">Die Rentabilität ist eine Messzahl für den Erfolg oder Misserfolg der </t>
  </si>
  <si>
    <t xml:space="preserve">unternehmerischen Tätigkeit. Sie ist eine Kennzahl, die den Erfolg </t>
  </si>
  <si>
    <t xml:space="preserve">(i. d. R. bereinigter Gewinn  in Beziehung zu anderen Größen setzt, von denen </t>
  </si>
  <si>
    <t>vermutet wird, dass sie zur Erzielung des Erfolgs wesentlich beigetragen</t>
  </si>
  <si>
    <t xml:space="preserve">Das Eigenkapital wird hier berechnet aus Inventar (den Zeitwert), abzüglich Fremdkapital. </t>
  </si>
  <si>
    <t xml:space="preserve">Das Umlaufvermögen (Vorräte, Kasse, Forderungen aus Lieferung und Leistung) ist nier noch nicht </t>
  </si>
  <si>
    <t>berücksichtgt, da im Moment nicht bekannt.</t>
  </si>
  <si>
    <t>Es wird der Startzeitpunkt, das erste Jahr betrachtet.</t>
  </si>
  <si>
    <t>Für den Zinsanstz wid der übliche Zinssatz von 3,5 % aus dem Agrarbericht verwendet.</t>
  </si>
  <si>
    <t xml:space="preserve">Das sagt aus, ob die eingesetzten Faktoren Arbeit und Kapital durch den Gewinn entlohnt </t>
  </si>
  <si>
    <t xml:space="preserve">Bei 100 % ist das der Fall, bei über 100% erzielt man einen Überschuss für Risiko, </t>
  </si>
  <si>
    <t>Neuinvestitionen, Unternehmergewinn ("Bonus")</t>
  </si>
  <si>
    <t>Beachte:</t>
  </si>
  <si>
    <t>(bereinigter) Gewinn</t>
  </si>
  <si>
    <t>+</t>
  </si>
  <si>
    <t>(bereinigte) Einlagen</t>
  </si>
  <si>
    <t>-</t>
  </si>
  <si>
    <t>(bereinigte) Entnahmen</t>
  </si>
  <si>
    <t>=</t>
  </si>
  <si>
    <t>(bereinigte) Eigenkapitalveränderung</t>
  </si>
  <si>
    <t>Zinsaufwand</t>
  </si>
  <si>
    <t>langfristige Kapitaldienstgrenze</t>
  </si>
  <si>
    <t xml:space="preserve"> gebundenes Fremdkapital</t>
  </si>
  <si>
    <t xml:space="preserve">durchschnittlich über die Laufzeit </t>
  </si>
  <si>
    <t>Ein Maß für den tragbaren Kapitaldienst gibt die Berechnung der Kapitaldienstgrenze an:</t>
  </si>
  <si>
    <t xml:space="preserve">• Der Kapitaldienst, d. h. Zins und Tilgung, müssen tragbar sein.  </t>
  </si>
  <si>
    <t>• Die nötigen Sicherheiten müssen gegeben sein (z. B. Grundschuld).</t>
  </si>
  <si>
    <r>
      <t>Weiter</t>
    </r>
    <r>
      <rPr>
        <b/>
        <sz val="11"/>
        <color theme="1"/>
        <rFont val="Arial"/>
        <family val="2"/>
      </rPr>
      <t xml:space="preserve"> zu prüfen</t>
    </r>
    <r>
      <rPr>
        <sz val="11"/>
        <color theme="1"/>
        <rFont val="Arial"/>
        <family val="2"/>
      </rPr>
      <t xml:space="preserve"> ist die </t>
    </r>
    <r>
      <rPr>
        <b/>
        <sz val="11"/>
        <color theme="1"/>
        <rFont val="Arial"/>
        <family val="2"/>
      </rPr>
      <t xml:space="preserve">Finanzierbarkeit </t>
    </r>
    <r>
      <rPr>
        <sz val="11"/>
        <color theme="1"/>
        <rFont val="Arial"/>
        <family val="2"/>
      </rPr>
      <t>des hier angegebenen Darlehens:</t>
    </r>
  </si>
  <si>
    <t>Inventar (aus Tabellenblatt: Inventar)</t>
  </si>
  <si>
    <t>´- Fremdkapital (aus Tabellenblatt: Fremdkapital)</t>
  </si>
  <si>
    <t>´= Eigenkapital</t>
  </si>
  <si>
    <t>Kenngröße Nettorentabilität</t>
  </si>
  <si>
    <t xml:space="preserve">  über den Arbeitlohn hinaus, Bonus).</t>
  </si>
  <si>
    <r>
      <t xml:space="preserve">vom </t>
    </r>
    <r>
      <rPr>
        <b/>
        <sz val="14"/>
        <color theme="1"/>
        <rFont val="Arial"/>
        <family val="2"/>
      </rPr>
      <t>Gewinn</t>
    </r>
    <r>
      <rPr>
        <sz val="14"/>
        <color theme="1"/>
        <rFont val="Arial"/>
        <family val="2"/>
      </rPr>
      <t xml:space="preserve"> sind zu bestreiten:</t>
    </r>
  </si>
  <si>
    <t>• Rücklagen für Risiko, Inflationsausgleich und Neuinvestitonen</t>
  </si>
  <si>
    <t>Welchen Stundenlohn möchten Sie?</t>
  </si>
  <si>
    <r>
      <t xml:space="preserve">Aufwand </t>
    </r>
    <r>
      <rPr>
        <b/>
        <sz val="11"/>
        <color theme="1"/>
        <rFont val="Arial"/>
        <family val="2"/>
      </rPr>
      <t>(ohne negatives Vorzeichen eingeben!)</t>
    </r>
  </si>
  <si>
    <t>entspricht Anzahl Flaschen der Füllmenge Pos. 100
und obigen Alkoholgehalt</t>
  </si>
  <si>
    <t>Gesamte Menge an verkauften fassgelag. Destillaten in LA</t>
  </si>
  <si>
    <t>Dieser Block ist für Sie eine Art Kontrolle.</t>
  </si>
  <si>
    <t>auch tatsächlich verkaufen!!!!!!!!</t>
  </si>
  <si>
    <t xml:space="preserve">Prüfen Sie, ob Sie die angezeigten Flaschenzahlen </t>
  </si>
  <si>
    <t>Verkostungen im Brennereibereich</t>
  </si>
  <si>
    <t>Wie viele Verkostungen führen Sie im Jahr im durchschnittl. durch?</t>
  </si>
  <si>
    <t>Arbeitszeitermittlung für eine Verkostung</t>
  </si>
  <si>
    <t>Wie viele Gäste haben Sie pro Verkostung im Schnitt?</t>
  </si>
  <si>
    <t>Vorbereitung</t>
  </si>
  <si>
    <t>Kundenabsprache Zeitaufwand in Std.</t>
  </si>
  <si>
    <t>Einkauf  Zeitaufwand in Std.</t>
  </si>
  <si>
    <t>Vorbereitung Raum  Zeitaufwand in Std.</t>
  </si>
  <si>
    <t>Vorbereitung Probe  Zeitaufwand in Std.</t>
  </si>
  <si>
    <t>Durchführung</t>
  </si>
  <si>
    <t>Führung und Probe inkl. Essen  Zeitaufwand in Std.</t>
  </si>
  <si>
    <t>Verbleib der Gruppe nach der Probe, Verkaufgespräche und
Verabschiedung der Gruppe  Zeitaufwand in Std.</t>
  </si>
  <si>
    <t>Nachbereitung</t>
  </si>
  <si>
    <t>Aufräumen, Probe, Raum, Toiletten  Zeitaufwand in Std.</t>
  </si>
  <si>
    <t>Rechnungsstellung, Administration  Zeitaufwand in Std.</t>
  </si>
  <si>
    <t>Summe Familienarbeitsstunden</t>
  </si>
  <si>
    <t>Gesamtarbeitsstunden</t>
  </si>
  <si>
    <t>Variable Kosten netto pro Person</t>
  </si>
  <si>
    <t>Gesamterlös dieser Verkostung netto pro Person</t>
  </si>
  <si>
    <t>DB, variable Kosten abgezogen, pro Person</t>
  </si>
  <si>
    <t>Variable Kosten netto je Person</t>
  </si>
  <si>
    <t>Arbeitszeit je Person in Std.</t>
  </si>
  <si>
    <t>Deckungsbeitrag je Person</t>
  </si>
  <si>
    <t>Verkostungen</t>
  </si>
  <si>
    <t>Gesamte Anzahl Personen, die im Durchschnitt im Jahr 
an Verkostungen teilnehmen</t>
  </si>
  <si>
    <t>Tatsächlicher Erlös bei Verkostungen pro Person brutto</t>
  </si>
  <si>
    <t>Gesamterlös netto pro Person</t>
  </si>
  <si>
    <t>Betriebs- und Verwaltungskosten pro Person netto</t>
  </si>
  <si>
    <t>Energie, Wasser, Abwasser pro Person netto</t>
  </si>
  <si>
    <t>Warenkosten für Lebensmittel pro Person netto</t>
  </si>
  <si>
    <t>Warenkosten für sonst. Getränke (Bier,Cola, Fanta….) pro Person netto</t>
  </si>
  <si>
    <t>Warenkosten für Destillate, Liköre……….pro Person netto</t>
  </si>
  <si>
    <t>Arbeitszeit für Fremdarbeitskräfte 1 (z.B.Servicekräfte…...) pro Std.</t>
  </si>
  <si>
    <t>Arbeitszeit für Fremdarbeitskräfte 2 (z.B. Reinigungskräfte…...) pro Std.</t>
  </si>
  <si>
    <t>Arbeitszeit für Fremdarbeitskräfte 3 (z.B. Probenleiter…...) pro Std.</t>
  </si>
  <si>
    <t>Kosten des Obstes je 100 kg in € netto</t>
  </si>
  <si>
    <t>Zeitaufwand Einmaischen pro Charge in Stunden geteilt durch 2</t>
  </si>
  <si>
    <t>Tatsächliche Kosten Monopolsprit in €/ LA inkl. Alkoholsteuer netto</t>
  </si>
  <si>
    <t>Tatsächliche Kosten anderes Destillat 1 in €/ LA inkl. Alkoholst. netto</t>
  </si>
  <si>
    <t>Tatsächliche Kosten anderes Destillat 2 in €/ LA inkl. Alkoholst. netto</t>
  </si>
  <si>
    <t>Kosten der Botanicals je kg in € netto</t>
  </si>
  <si>
    <t>Tatsächliche Kosten des Zuckers in € je kg netto</t>
  </si>
  <si>
    <t>Kosten von Zusatzstoffen 1 in € je kg/ L netto</t>
  </si>
  <si>
    <t>Kosten von Zusatzstoffen 2 in € je kg/ L netto</t>
  </si>
  <si>
    <t>Bei Überschreitung des Limits wird J 187 rot erscheinen.</t>
  </si>
  <si>
    <t>Position 14 bis 18 werden übernommem in Produkte Verschluss</t>
  </si>
  <si>
    <t>Füllmenge je Abtrieb in Liter</t>
  </si>
  <si>
    <t>Kosten des Obstes je kg in € netto</t>
  </si>
  <si>
    <t>Weinsberger Brennereirechner</t>
  </si>
  <si>
    <t>Der Weinsberger Brennereirechner dient zur Ermittlung der Rentabilität eines</t>
  </si>
  <si>
    <t xml:space="preserve">Brennereibetriebes. </t>
  </si>
  <si>
    <t>Ganz wichtig: Möglichst tatsächliche und genaue Zahlen eingeben. Nur so erreichen Sie den</t>
  </si>
  <si>
    <t>tatsächlichen Rentabilitätswert.</t>
  </si>
  <si>
    <t>Im eigenen Interesse bitte nicht schönrechnen!</t>
  </si>
  <si>
    <t xml:space="preserve">Kapitaldienstgrenze, Stabilität und Liquidität können mit diesen Zahlen nicht </t>
  </si>
  <si>
    <t>betrachtet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</si>
</sst>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7" formatCode="#,##0.00\ &quot;€&quot;;\-#,##0.00\ &quot;€&quot;"/>
    <numFmt numFmtId="8" formatCode="#,##0.00\ &quot;€&quot;;[Red]\-#,##0.00\ &quot;€&quot;"/>
    <numFmt numFmtId="44" formatCode="_-* #,##0.00\ &quot;€&quot;_-;\-* #,##0.00\ &quot;€&quot;_-;_-* &quot;-&quot;??\ &quot;€&quot;_-;_-@_-"/>
    <numFmt numFmtId="164" formatCode="_-* #,##0\ _€_-;\-* #,##0\ _€_-;_-* &quot;-&quot;\ _€_-;_-@_-"/>
    <numFmt numFmtId="165" formatCode="_-* #,##0.00\ _€_-;\-* #,##0.00\ _€_-;_-* &quot;-&quot;??\ _€_-;_-@_-"/>
    <numFmt numFmtId="166" formatCode="0.0"/>
    <numFmt numFmtId="167" formatCode="#,##0\ &quot;€&quot;"/>
    <numFmt numFmtId="168" formatCode="_-* #,##0.00\ [$€-407]_-;\-* #,##0.00\ [$€-407]_-;_-* &quot;-&quot;??\ [$€-407]_-;_-@_-"/>
    <numFmt numFmtId="169" formatCode="#,##0.0_ ;\-#,##0.0\ "/>
    <numFmt numFmtId="170" formatCode="#,##0.00\ &quot;€&quot;"/>
    <numFmt numFmtId="171" formatCode="0.0%"/>
    <numFmt numFmtId="172" formatCode="#,##0.00\ &quot;€&quot;;[Red]#,##0.00\ &quot;€&quot;"/>
    <numFmt numFmtId="173" formatCode="_-* #,##0\ _€_-;\-* #,##0\ _€_-;_-* &quot;-&quot;??\ _€_-;_-@_-"/>
    <numFmt numFmtId="174" formatCode="#,##0.0\ &quot;€&quot;"/>
    <numFmt numFmtId="175" formatCode="0.00_ ;[Red]\-0.00\ "/>
    <numFmt numFmtId="176" formatCode="#,##0.00\ [$€-407];[Red]\-#,##0.00\ [$€-407]"/>
  </numFmts>
  <fonts count="44" x14ac:knownFonts="1">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sz val="14"/>
      <color theme="1"/>
      <name val="Arial"/>
      <family val="2"/>
    </font>
    <font>
      <b/>
      <sz val="16"/>
      <color theme="1"/>
      <name val="Arial"/>
      <family val="2"/>
    </font>
    <font>
      <sz val="10"/>
      <color theme="1"/>
      <name val="Arial"/>
      <family val="2"/>
    </font>
    <font>
      <sz val="11"/>
      <color theme="1"/>
      <name val="Arial"/>
      <family val="2"/>
    </font>
    <font>
      <b/>
      <sz val="9"/>
      <color indexed="81"/>
      <name val="Tahoma"/>
      <family val="2"/>
    </font>
    <font>
      <sz val="9"/>
      <color indexed="81"/>
      <name val="Tahoma"/>
      <family val="2"/>
    </font>
    <font>
      <b/>
      <sz val="14"/>
      <color indexed="81"/>
      <name val="Tahoma"/>
      <family val="2"/>
    </font>
    <font>
      <sz val="11"/>
      <name val="Arial"/>
      <family val="2"/>
    </font>
    <font>
      <sz val="11"/>
      <color rgb="FF00B0F0"/>
      <name val="Arial"/>
      <family val="2"/>
    </font>
    <font>
      <sz val="11"/>
      <color rgb="FF0070C0"/>
      <name val="Arial"/>
      <family val="2"/>
    </font>
    <font>
      <sz val="9"/>
      <color theme="1"/>
      <name val="Arial"/>
      <family val="2"/>
    </font>
    <font>
      <sz val="14"/>
      <color theme="1"/>
      <name val="Arial"/>
      <family val="2"/>
    </font>
    <font>
      <sz val="16"/>
      <color theme="1"/>
      <name val="Arial"/>
      <family val="2"/>
    </font>
    <font>
      <sz val="10"/>
      <name val="Arial"/>
      <family val="2"/>
    </font>
    <font>
      <sz val="9"/>
      <name val="Arial"/>
      <family val="2"/>
    </font>
    <font>
      <b/>
      <sz val="9"/>
      <color rgb="FF000000"/>
      <name val="Tahoma"/>
      <family val="2"/>
    </font>
    <font>
      <sz val="9"/>
      <color rgb="FF000000"/>
      <name val="Tahoma"/>
      <family val="2"/>
    </font>
    <font>
      <b/>
      <sz val="22"/>
      <color theme="1"/>
      <name val="Arial"/>
      <family val="2"/>
    </font>
    <font>
      <b/>
      <sz val="11"/>
      <color rgb="FFFF0000"/>
      <name val="Arial"/>
      <family val="2"/>
    </font>
    <font>
      <u/>
      <sz val="11"/>
      <color theme="10"/>
      <name val="Arial"/>
      <family val="2"/>
    </font>
    <font>
      <b/>
      <sz val="11"/>
      <color theme="0"/>
      <name val="Arial"/>
      <family val="2"/>
    </font>
    <font>
      <sz val="11"/>
      <color theme="1"/>
      <name val="Calibri"/>
      <family val="2"/>
      <scheme val="minor"/>
    </font>
    <font>
      <sz val="9"/>
      <color indexed="81"/>
      <name val="Segoe UI"/>
      <family val="2"/>
    </font>
    <font>
      <b/>
      <sz val="10"/>
      <name val="Arial"/>
      <family val="2"/>
    </font>
    <font>
      <sz val="10"/>
      <color indexed="8"/>
      <name val="Arial"/>
      <family val="2"/>
    </font>
    <font>
      <u/>
      <sz val="10"/>
      <color indexed="12"/>
      <name val="Arial"/>
      <family val="2"/>
    </font>
    <font>
      <b/>
      <sz val="16"/>
      <color theme="0"/>
      <name val="Arial"/>
      <family val="2"/>
    </font>
    <font>
      <b/>
      <sz val="26"/>
      <color theme="1"/>
      <name val="Arial"/>
      <family val="2"/>
    </font>
    <font>
      <b/>
      <sz val="11"/>
      <name val="Arial"/>
      <family val="2"/>
    </font>
    <font>
      <b/>
      <sz val="9"/>
      <color indexed="81"/>
      <name val="Segoe UI"/>
      <family val="2"/>
    </font>
    <font>
      <b/>
      <sz val="11"/>
      <color indexed="8"/>
      <name val="Arial"/>
      <family val="2"/>
    </font>
    <font>
      <sz val="8"/>
      <color theme="1"/>
      <name val="Arial"/>
      <family val="2"/>
    </font>
    <font>
      <sz val="11"/>
      <color rgb="FFFF0000"/>
      <name val="Arial"/>
      <family val="2"/>
    </font>
    <font>
      <u/>
      <sz val="11"/>
      <color theme="1"/>
      <name val="Arial"/>
      <family val="2"/>
    </font>
    <font>
      <b/>
      <sz val="14"/>
      <name val="Arial"/>
      <family val="2"/>
    </font>
    <font>
      <b/>
      <sz val="12"/>
      <color rgb="FFFF0000"/>
      <name val="Arial"/>
      <family val="2"/>
    </font>
    <font>
      <b/>
      <sz val="20"/>
      <color theme="1"/>
      <name val="Arial"/>
      <family val="2"/>
    </font>
  </fonts>
  <fills count="10">
    <fill>
      <patternFill patternType="none"/>
    </fill>
    <fill>
      <patternFill patternType="gray125"/>
    </fill>
    <fill>
      <patternFill patternType="solid">
        <fgColor theme="9"/>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7"/>
      </patternFill>
    </fill>
    <fill>
      <patternFill patternType="solid">
        <fgColor theme="6" tint="0.39997558519241921"/>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thick">
        <color rgb="FF92D050"/>
      </left>
      <right style="hair">
        <color auto="1"/>
      </right>
      <top style="thick">
        <color rgb="FF92D050"/>
      </top>
      <bottom style="hair">
        <color auto="1"/>
      </bottom>
      <diagonal/>
    </border>
    <border>
      <left style="hair">
        <color auto="1"/>
      </left>
      <right style="hair">
        <color auto="1"/>
      </right>
      <top style="thick">
        <color rgb="FF92D050"/>
      </top>
      <bottom style="hair">
        <color auto="1"/>
      </bottom>
      <diagonal/>
    </border>
    <border>
      <left style="hair">
        <color auto="1"/>
      </left>
      <right style="thick">
        <color rgb="FF92D050"/>
      </right>
      <top style="thick">
        <color rgb="FF92D050"/>
      </top>
      <bottom style="hair">
        <color auto="1"/>
      </bottom>
      <diagonal/>
    </border>
    <border>
      <left/>
      <right style="hair">
        <color auto="1"/>
      </right>
      <top style="hair">
        <color auto="1"/>
      </top>
      <bottom style="hair">
        <color auto="1"/>
      </bottom>
      <diagonal/>
    </border>
    <border>
      <left style="thick">
        <color rgb="FF92D050"/>
      </left>
      <right style="hair">
        <color auto="1"/>
      </right>
      <top style="hair">
        <color auto="1"/>
      </top>
      <bottom style="hair">
        <color auto="1"/>
      </bottom>
      <diagonal/>
    </border>
    <border>
      <left style="hair">
        <color auto="1"/>
      </left>
      <right style="thick">
        <color rgb="FF92D050"/>
      </right>
      <top style="hair">
        <color auto="1"/>
      </top>
      <bottom style="hair">
        <color auto="1"/>
      </bottom>
      <diagonal/>
    </border>
    <border>
      <left style="thick">
        <color rgb="FF92D050"/>
      </left>
      <right style="hair">
        <color auto="1"/>
      </right>
      <top style="hair">
        <color auto="1"/>
      </top>
      <bottom style="thick">
        <color rgb="FF92D050"/>
      </bottom>
      <diagonal/>
    </border>
    <border>
      <left style="hair">
        <color auto="1"/>
      </left>
      <right style="hair">
        <color auto="1"/>
      </right>
      <top style="hair">
        <color auto="1"/>
      </top>
      <bottom style="thick">
        <color rgb="FF92D050"/>
      </bottom>
      <diagonal/>
    </border>
    <border>
      <left style="hair">
        <color auto="1"/>
      </left>
      <right style="thick">
        <color rgb="FF92D050"/>
      </right>
      <top style="hair">
        <color auto="1"/>
      </top>
      <bottom style="thick">
        <color rgb="FF92D050"/>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right/>
      <top style="hair">
        <color auto="1"/>
      </top>
      <bottom/>
      <diagonal/>
    </border>
    <border>
      <left/>
      <right style="thick">
        <color rgb="FF92D050"/>
      </right>
      <top/>
      <bottom/>
      <diagonal/>
    </border>
    <border>
      <left style="thick">
        <color rgb="FF92D050"/>
      </left>
      <right style="hair">
        <color auto="1"/>
      </right>
      <top style="hair">
        <color auto="1"/>
      </top>
      <bottom/>
      <diagonal/>
    </border>
    <border>
      <left style="hair">
        <color auto="1"/>
      </left>
      <right style="thick">
        <color rgb="FF92D050"/>
      </right>
      <top style="hair">
        <color auto="1"/>
      </top>
      <bottom/>
      <diagonal/>
    </border>
    <border>
      <left style="thick">
        <color rgb="FF92D050"/>
      </left>
      <right style="hair">
        <color auto="1"/>
      </right>
      <top/>
      <bottom style="hair">
        <color auto="1"/>
      </bottom>
      <diagonal/>
    </border>
    <border>
      <left style="hair">
        <color auto="1"/>
      </left>
      <right style="thick">
        <color rgb="FF92D050"/>
      </right>
      <top/>
      <bottom style="hair">
        <color auto="1"/>
      </bottom>
      <diagonal/>
    </border>
    <border>
      <left style="thick">
        <color rgb="FF92D050"/>
      </left>
      <right/>
      <top style="hair">
        <color auto="1"/>
      </top>
      <bottom/>
      <diagonal/>
    </border>
    <border>
      <left/>
      <right style="thick">
        <color rgb="FF92D050"/>
      </right>
      <top style="hair">
        <color auto="1"/>
      </top>
      <bottom/>
      <diagonal/>
    </border>
    <border>
      <left style="thick">
        <color rgb="FF92D050"/>
      </left>
      <right/>
      <top style="thick">
        <color rgb="FF92D050"/>
      </top>
      <bottom style="hair">
        <color auto="1"/>
      </bottom>
      <diagonal/>
    </border>
    <border>
      <left/>
      <right/>
      <top style="thick">
        <color rgb="FF92D050"/>
      </top>
      <bottom style="hair">
        <color auto="1"/>
      </bottom>
      <diagonal/>
    </border>
    <border>
      <left/>
      <right style="thick">
        <color rgb="FF92D050"/>
      </right>
      <top style="thick">
        <color rgb="FF92D050"/>
      </top>
      <bottom style="hair">
        <color auto="1"/>
      </bottom>
      <diagonal/>
    </border>
    <border>
      <left/>
      <right style="thick">
        <color rgb="FF92D050"/>
      </right>
      <top style="hair">
        <color auto="1"/>
      </top>
      <bottom style="hair">
        <color auto="1"/>
      </bottom>
      <diagonal/>
    </border>
    <border>
      <left style="thick">
        <color rgb="FF92D050"/>
      </left>
      <right/>
      <top style="hair">
        <color auto="1"/>
      </top>
      <bottom style="hair">
        <color auto="1"/>
      </bottom>
      <diagonal/>
    </border>
    <border>
      <left style="thick">
        <color rgb="FF92D050"/>
      </left>
      <right/>
      <top style="hair">
        <color auto="1"/>
      </top>
      <bottom style="thick">
        <color rgb="FF92D050"/>
      </bottom>
      <diagonal/>
    </border>
    <border>
      <left/>
      <right/>
      <top style="hair">
        <color auto="1"/>
      </top>
      <bottom style="thick">
        <color rgb="FF92D050"/>
      </bottom>
      <diagonal/>
    </border>
    <border>
      <left/>
      <right style="thick">
        <color rgb="FF92D050"/>
      </right>
      <top style="hair">
        <color auto="1"/>
      </top>
      <bottom style="thick">
        <color rgb="FF92D050"/>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top/>
      <bottom/>
      <diagonal/>
    </border>
    <border>
      <left/>
      <right/>
      <top style="medium">
        <color auto="1"/>
      </top>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hair">
        <color auto="1"/>
      </left>
      <right/>
      <top style="hair">
        <color auto="1"/>
      </top>
      <bottom style="medium">
        <color auto="1"/>
      </bottom>
      <diagonal/>
    </border>
    <border diagonalUp="1" diagonalDown="1">
      <left style="hair">
        <color auto="1"/>
      </left>
      <right style="hair">
        <color auto="1"/>
      </right>
      <top style="medium">
        <color auto="1"/>
      </top>
      <bottom/>
      <diagonal style="hair">
        <color auto="1"/>
      </diagonal>
    </border>
    <border diagonalUp="1" diagonalDown="1">
      <left style="hair">
        <color auto="1"/>
      </left>
      <right style="hair">
        <color auto="1"/>
      </right>
      <top/>
      <bottom/>
      <diagonal style="hair">
        <color auto="1"/>
      </diagonal>
    </border>
    <border diagonalUp="1" diagonalDown="1">
      <left style="hair">
        <color auto="1"/>
      </left>
      <right style="hair">
        <color auto="1"/>
      </right>
      <top/>
      <bottom style="hair">
        <color auto="1"/>
      </bottom>
      <diagonal style="hair">
        <color auto="1"/>
      </diagonal>
    </border>
    <border diagonalUp="1" diagonalDown="1">
      <left style="hair">
        <color auto="1"/>
      </left>
      <right style="medium">
        <color auto="1"/>
      </right>
      <top style="medium">
        <color auto="1"/>
      </top>
      <bottom/>
      <diagonal style="hair">
        <color auto="1"/>
      </diagonal>
    </border>
    <border diagonalUp="1" diagonalDown="1">
      <left style="hair">
        <color auto="1"/>
      </left>
      <right style="medium">
        <color auto="1"/>
      </right>
      <top/>
      <bottom/>
      <diagonal style="hair">
        <color auto="1"/>
      </diagonal>
    </border>
    <border diagonalUp="1" diagonalDown="1">
      <left style="hair">
        <color auto="1"/>
      </left>
      <right style="medium">
        <color auto="1"/>
      </right>
      <top/>
      <bottom style="hair">
        <color auto="1"/>
      </bottom>
      <diagonal style="hair">
        <color auto="1"/>
      </diagonal>
    </border>
    <border>
      <left style="thick">
        <color rgb="FF92D050"/>
      </left>
      <right/>
      <top/>
      <bottom style="hair">
        <color auto="1"/>
      </bottom>
      <diagonal/>
    </border>
    <border>
      <left/>
      <right style="thick">
        <color rgb="FF92D050"/>
      </right>
      <top/>
      <bottom style="hair">
        <color auto="1"/>
      </bottom>
      <diagonal/>
    </border>
    <border>
      <left/>
      <right style="hair">
        <color auto="1"/>
      </right>
      <top style="hair">
        <color auto="1"/>
      </top>
      <bottom style="medium">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medium">
        <color auto="1"/>
      </right>
      <top/>
      <bottom style="hair">
        <color auto="1"/>
      </bottom>
      <diagonal/>
    </border>
    <border>
      <left/>
      <right/>
      <top style="thick">
        <color auto="1"/>
      </top>
      <bottom/>
      <diagonal/>
    </border>
    <border>
      <left style="hair">
        <color auto="1"/>
      </left>
      <right style="hair">
        <color auto="1"/>
      </right>
      <top/>
      <bottom/>
      <diagonal/>
    </border>
    <border>
      <left style="medium">
        <color auto="1"/>
      </left>
      <right style="medium">
        <color auto="1"/>
      </right>
      <top style="medium">
        <color auto="1"/>
      </top>
      <bottom style="medium">
        <color auto="1"/>
      </bottom>
      <diagonal/>
    </border>
    <border diagonalUp="1" diagonalDown="1">
      <left style="hair">
        <color auto="1"/>
      </left>
      <right/>
      <top style="hair">
        <color auto="1"/>
      </top>
      <bottom style="hair">
        <color auto="1"/>
      </bottom>
      <diagonal style="hair">
        <color auto="1"/>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style="medium">
        <color auto="1"/>
      </left>
      <right style="medium">
        <color auto="1"/>
      </right>
      <top style="medium">
        <color auto="1"/>
      </top>
      <bottom/>
      <diagonal/>
    </border>
    <border>
      <left style="medium">
        <color auto="1"/>
      </left>
      <right style="medium">
        <color auto="1"/>
      </right>
      <top style="thin">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style="thin">
        <color indexed="64"/>
      </top>
      <bottom/>
      <diagonal/>
    </border>
    <border>
      <left style="medium">
        <color auto="1"/>
      </left>
      <right style="medium">
        <color auto="1"/>
      </right>
      <top/>
      <bottom/>
      <diagonal/>
    </border>
    <border>
      <left style="medium">
        <color auto="1"/>
      </left>
      <right style="medium">
        <color auto="1"/>
      </right>
      <top style="medium">
        <color indexed="64"/>
      </top>
      <bottom style="thin">
        <color indexed="64"/>
      </bottom>
      <diagonal/>
    </border>
    <border>
      <left style="medium">
        <color auto="1"/>
      </left>
      <right style="medium">
        <color auto="1"/>
      </right>
      <top style="medium">
        <color auto="1"/>
      </top>
      <bottom style="thick">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style="medium">
        <color auto="1"/>
      </right>
      <top style="thin">
        <color indexed="64"/>
      </top>
      <bottom style="medium">
        <color auto="1"/>
      </bottom>
      <diagonal/>
    </border>
    <border>
      <left style="medium">
        <color auto="1"/>
      </left>
      <right style="medium">
        <color auto="1"/>
      </right>
      <top/>
      <bottom style="thin">
        <color indexed="64"/>
      </bottom>
      <diagonal/>
    </border>
    <border>
      <left/>
      <right/>
      <top style="medium">
        <color auto="1"/>
      </top>
      <bottom style="medium">
        <color indexed="64"/>
      </bottom>
      <diagonal/>
    </border>
    <border>
      <left/>
      <right/>
      <top style="thick">
        <color auto="1"/>
      </top>
      <bottom style="medium">
        <color auto="1"/>
      </bottom>
      <diagonal/>
    </border>
    <border>
      <left/>
      <right style="medium">
        <color indexed="64"/>
      </right>
      <top style="medium">
        <color indexed="64"/>
      </top>
      <bottom/>
      <diagonal/>
    </border>
    <border>
      <left/>
      <right style="medium">
        <color indexed="64"/>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top/>
      <bottom style="dashed">
        <color auto="1"/>
      </bottom>
      <diagonal/>
    </border>
    <border>
      <left/>
      <right/>
      <top style="dashed">
        <color auto="1"/>
      </top>
      <bottom style="dash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thin">
        <color indexed="64"/>
      </top>
      <bottom/>
      <diagonal/>
    </border>
    <border>
      <left/>
      <right style="medium">
        <color indexed="64"/>
      </right>
      <top style="thin">
        <color indexed="64"/>
      </top>
      <bottom style="thin">
        <color indexed="64"/>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indexed="64"/>
      </right>
      <top style="medium">
        <color auto="1"/>
      </top>
      <bottom style="hair">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thick">
        <color rgb="FF92D050"/>
      </right>
      <top style="thin">
        <color auto="1"/>
      </top>
      <bottom style="hair">
        <color auto="1"/>
      </bottom>
      <diagonal/>
    </border>
  </borders>
  <cellStyleXfs count="10">
    <xf numFmtId="0" fontId="0" fillId="0" borderId="0"/>
    <xf numFmtId="44" fontId="10" fillId="0" borderId="0" applyFon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8" fillId="0" borderId="0"/>
    <xf numFmtId="0" fontId="20" fillId="0" borderId="0"/>
    <xf numFmtId="44" fontId="20" fillId="0" borderId="0" applyFont="0" applyFill="0" applyBorder="0" applyAlignment="0" applyProtection="0"/>
    <xf numFmtId="0" fontId="32" fillId="0" borderId="0" applyNumberFormat="0" applyFill="0" applyBorder="0" applyAlignment="0" applyProtection="0">
      <alignment vertical="top"/>
      <protection locked="0"/>
    </xf>
  </cellStyleXfs>
  <cellXfs count="738">
    <xf numFmtId="0" fontId="0" fillId="0" borderId="0" xfId="0"/>
    <xf numFmtId="166" fontId="0" fillId="3" borderId="14" xfId="0" applyNumberFormat="1" applyFill="1" applyBorder="1" applyAlignment="1" applyProtection="1">
      <alignment horizontal="right"/>
      <protection hidden="1"/>
    </xf>
    <xf numFmtId="44" fontId="0" fillId="3" borderId="14" xfId="1" applyFont="1" applyFill="1" applyBorder="1" applyAlignment="1" applyProtection="1">
      <alignment horizontal="left"/>
      <protection hidden="1"/>
    </xf>
    <xf numFmtId="1" fontId="0" fillId="3" borderId="14" xfId="0" applyNumberFormat="1" applyFill="1" applyBorder="1" applyAlignment="1" applyProtection="1">
      <alignment horizontal="right"/>
      <protection hidden="1"/>
    </xf>
    <xf numFmtId="44" fontId="0" fillId="3" borderId="14" xfId="0" applyNumberFormat="1" applyFill="1" applyBorder="1" applyProtection="1">
      <protection hidden="1"/>
    </xf>
    <xf numFmtId="166" fontId="0" fillId="3" borderId="8" xfId="0" applyNumberFormat="1" applyFill="1" applyBorder="1" applyAlignment="1" applyProtection="1">
      <alignment horizontal="right"/>
      <protection hidden="1"/>
    </xf>
    <xf numFmtId="44" fontId="0" fillId="3" borderId="8" xfId="1" applyFont="1" applyFill="1" applyBorder="1" applyAlignment="1" applyProtection="1">
      <alignment horizontal="left"/>
      <protection hidden="1"/>
    </xf>
    <xf numFmtId="1" fontId="0" fillId="3" borderId="8" xfId="0" applyNumberFormat="1" applyFill="1" applyBorder="1" applyAlignment="1" applyProtection="1">
      <alignment horizontal="right"/>
      <protection hidden="1"/>
    </xf>
    <xf numFmtId="44" fontId="0" fillId="3" borderId="8" xfId="0" applyNumberFormat="1" applyFill="1" applyBorder="1" applyProtection="1">
      <protection hidden="1"/>
    </xf>
    <xf numFmtId="8" fontId="0" fillId="0" borderId="0" xfId="0" applyNumberFormat="1" applyFill="1" applyBorder="1" applyAlignment="1" applyProtection="1">
      <alignment horizontal="right"/>
      <protection hidden="1"/>
    </xf>
    <xf numFmtId="8" fontId="0" fillId="0" borderId="0" xfId="1" applyNumberFormat="1" applyFont="1" applyFill="1" applyBorder="1" applyAlignment="1" applyProtection="1">
      <alignment horizontal="right"/>
      <protection hidden="1"/>
    </xf>
    <xf numFmtId="8" fontId="6" fillId="0" borderId="0" xfId="0" applyNumberFormat="1" applyFont="1" applyFill="1" applyBorder="1" applyAlignment="1" applyProtection="1">
      <alignment horizontal="right"/>
      <protection hidden="1"/>
    </xf>
    <xf numFmtId="7" fontId="0" fillId="0" borderId="0" xfId="0" applyNumberFormat="1" applyFill="1" applyBorder="1" applyAlignment="1" applyProtection="1">
      <alignment horizontal="right"/>
      <protection hidden="1"/>
    </xf>
    <xf numFmtId="169" fontId="0" fillId="0" borderId="0" xfId="0" applyNumberFormat="1" applyFill="1" applyBorder="1" applyAlignment="1" applyProtection="1">
      <alignment horizontal="left"/>
      <protection hidden="1"/>
    </xf>
    <xf numFmtId="166" fontId="0" fillId="3" borderId="14" xfId="0" applyNumberFormat="1" applyFill="1" applyBorder="1" applyProtection="1">
      <protection hidden="1"/>
    </xf>
    <xf numFmtId="0" fontId="6" fillId="0" borderId="0" xfId="0" applyFont="1" applyFill="1" applyBorder="1" applyAlignment="1" applyProtection="1">
      <alignment horizontal="right"/>
      <protection hidden="1"/>
    </xf>
    <xf numFmtId="44" fontId="0" fillId="0" borderId="0" xfId="0" applyNumberFormat="1" applyFill="1" applyBorder="1" applyProtection="1">
      <protection hidden="1"/>
    </xf>
    <xf numFmtId="1" fontId="0" fillId="3" borderId="14" xfId="0" applyNumberFormat="1" applyFill="1" applyBorder="1" applyAlignment="1" applyProtection="1">
      <protection hidden="1"/>
    </xf>
    <xf numFmtId="170" fontId="6" fillId="3" borderId="8" xfId="0" applyNumberFormat="1" applyFont="1" applyFill="1" applyBorder="1" applyAlignment="1" applyProtection="1">
      <alignment horizontal="right"/>
      <protection hidden="1"/>
    </xf>
    <xf numFmtId="170" fontId="0" fillId="3" borderId="8" xfId="0" applyNumberFormat="1" applyFill="1" applyBorder="1" applyAlignment="1" applyProtection="1">
      <alignment horizontal="right"/>
      <protection hidden="1"/>
    </xf>
    <xf numFmtId="170" fontId="0" fillId="3" borderId="8" xfId="0" applyNumberFormat="1" applyFont="1" applyFill="1" applyBorder="1" applyAlignment="1" applyProtection="1">
      <alignment horizontal="right"/>
      <protection hidden="1"/>
    </xf>
    <xf numFmtId="1" fontId="0" fillId="3" borderId="8" xfId="0" applyNumberFormat="1" applyFill="1" applyBorder="1" applyAlignment="1" applyProtection="1">
      <protection hidden="1"/>
    </xf>
    <xf numFmtId="166" fontId="0" fillId="3" borderId="8" xfId="0" applyNumberFormat="1" applyFill="1" applyBorder="1" applyProtection="1">
      <protection hidden="1"/>
    </xf>
    <xf numFmtId="170" fontId="0" fillId="3" borderId="8" xfId="1" applyNumberFormat="1" applyFont="1" applyFill="1" applyBorder="1" applyAlignment="1" applyProtection="1">
      <alignment horizontal="right"/>
      <protection hidden="1"/>
    </xf>
    <xf numFmtId="170" fontId="0" fillId="3" borderId="14" xfId="0" applyNumberFormat="1" applyFill="1" applyBorder="1" applyAlignment="1" applyProtection="1">
      <alignment horizontal="right"/>
      <protection hidden="1"/>
    </xf>
    <xf numFmtId="170" fontId="0" fillId="3" borderId="16" xfId="0" applyNumberFormat="1" applyFill="1" applyBorder="1" applyAlignment="1" applyProtection="1">
      <alignment horizontal="right"/>
      <protection hidden="1"/>
    </xf>
    <xf numFmtId="170" fontId="6" fillId="3" borderId="33" xfId="0" applyNumberFormat="1" applyFont="1" applyFill="1" applyBorder="1" applyAlignment="1" applyProtection="1">
      <alignment horizontal="right"/>
      <protection hidden="1"/>
    </xf>
    <xf numFmtId="44" fontId="0" fillId="3" borderId="18" xfId="0" applyNumberFormat="1" applyFill="1" applyBorder="1" applyProtection="1">
      <protection hidden="1"/>
    </xf>
    <xf numFmtId="168" fontId="0" fillId="3" borderId="14" xfId="0" applyNumberFormat="1" applyFill="1" applyBorder="1" applyAlignment="1" applyProtection="1">
      <alignment horizontal="left"/>
      <protection hidden="1"/>
    </xf>
    <xf numFmtId="170" fontId="0" fillId="3" borderId="17" xfId="0" applyNumberFormat="1" applyFill="1" applyBorder="1" applyAlignment="1" applyProtection="1">
      <alignment horizontal="right"/>
      <protection hidden="1"/>
    </xf>
    <xf numFmtId="168" fontId="0" fillId="3" borderId="14" xfId="0" applyNumberFormat="1" applyFont="1" applyFill="1" applyBorder="1" applyProtection="1">
      <protection hidden="1"/>
    </xf>
    <xf numFmtId="168" fontId="6" fillId="0" borderId="14" xfId="0" applyNumberFormat="1" applyFont="1" applyFill="1" applyBorder="1" applyAlignment="1" applyProtection="1">
      <alignment horizontal="left"/>
      <protection hidden="1"/>
    </xf>
    <xf numFmtId="0" fontId="6" fillId="0" borderId="14" xfId="0" applyFont="1" applyFill="1" applyBorder="1" applyAlignment="1" applyProtection="1">
      <alignment horizontal="right"/>
      <protection hidden="1"/>
    </xf>
    <xf numFmtId="0" fontId="6" fillId="0" borderId="19" xfId="0" applyFont="1" applyFill="1" applyBorder="1" applyAlignment="1" applyProtection="1">
      <alignment horizontal="right"/>
      <protection hidden="1"/>
    </xf>
    <xf numFmtId="170" fontId="0" fillId="3" borderId="33" xfId="0" applyNumberFormat="1" applyFill="1" applyBorder="1" applyAlignment="1" applyProtection="1">
      <alignment horizontal="right"/>
      <protection hidden="1"/>
    </xf>
    <xf numFmtId="170" fontId="0" fillId="3" borderId="33" xfId="1" applyNumberFormat="1" applyFont="1" applyFill="1" applyBorder="1" applyAlignment="1" applyProtection="1">
      <alignment horizontal="right"/>
      <protection hidden="1"/>
    </xf>
    <xf numFmtId="166" fontId="0" fillId="3" borderId="14" xfId="0" applyNumberFormat="1" applyFont="1" applyFill="1" applyBorder="1" applyAlignment="1" applyProtection="1">
      <alignment horizontal="right"/>
      <protection hidden="1"/>
    </xf>
    <xf numFmtId="169" fontId="0" fillId="3" borderId="8" xfId="0" applyNumberFormat="1" applyFill="1" applyBorder="1" applyAlignment="1" applyProtection="1">
      <alignment horizontal="left"/>
      <protection hidden="1"/>
    </xf>
    <xf numFmtId="169" fontId="0" fillId="3" borderId="14" xfId="0" applyNumberFormat="1" applyFill="1" applyBorder="1" applyAlignment="1" applyProtection="1">
      <alignment horizontal="left"/>
      <protection hidden="1"/>
    </xf>
    <xf numFmtId="0" fontId="0" fillId="4" borderId="42" xfId="0" applyFill="1" applyBorder="1" applyAlignment="1" applyProtection="1">
      <alignment horizontal="center"/>
      <protection locked="0"/>
    </xf>
    <xf numFmtId="0" fontId="0" fillId="4" borderId="12" xfId="0" applyFill="1" applyBorder="1" applyAlignment="1" applyProtection="1">
      <alignment horizontal="center"/>
      <protection locked="0"/>
    </xf>
    <xf numFmtId="166" fontId="0" fillId="4" borderId="12" xfId="0" applyNumberFormat="1" applyFill="1" applyBorder="1" applyAlignment="1" applyProtection="1">
      <alignment horizontal="center"/>
      <protection locked="0"/>
    </xf>
    <xf numFmtId="166" fontId="0" fillId="4" borderId="42" xfId="0" applyNumberFormat="1" applyFill="1" applyBorder="1" applyAlignment="1" applyProtection="1">
      <alignment horizontal="center"/>
      <protection locked="0"/>
    </xf>
    <xf numFmtId="166" fontId="0" fillId="4" borderId="12" xfId="2" applyNumberFormat="1" applyFont="1" applyFill="1" applyBorder="1" applyAlignment="1" applyProtection="1">
      <alignment horizontal="center"/>
      <protection locked="0"/>
    </xf>
    <xf numFmtId="166" fontId="0" fillId="4" borderId="42" xfId="2" applyNumberFormat="1" applyFont="1" applyFill="1" applyBorder="1" applyAlignment="1" applyProtection="1">
      <alignment horizontal="center"/>
      <protection locked="0"/>
    </xf>
    <xf numFmtId="3" fontId="0" fillId="4" borderId="12" xfId="0" applyNumberFormat="1" applyFill="1" applyBorder="1" applyAlignment="1" applyProtection="1">
      <alignment horizontal="center"/>
      <protection locked="0"/>
    </xf>
    <xf numFmtId="3" fontId="0" fillId="4" borderId="42" xfId="0" applyNumberFormat="1" applyFill="1" applyBorder="1" applyAlignment="1" applyProtection="1">
      <alignment horizontal="center"/>
      <protection locked="0"/>
    </xf>
    <xf numFmtId="3" fontId="0" fillId="4" borderId="8" xfId="0" applyNumberFormat="1" applyFill="1" applyBorder="1" applyAlignment="1" applyProtection="1">
      <alignment horizontal="center"/>
      <protection locked="0"/>
    </xf>
    <xf numFmtId="0" fontId="0" fillId="4" borderId="21" xfId="0" applyFill="1" applyBorder="1" applyAlignment="1" applyProtection="1">
      <alignment horizontal="center"/>
      <protection locked="0"/>
    </xf>
    <xf numFmtId="0" fontId="0" fillId="4" borderId="18" xfId="0" applyFill="1" applyBorder="1" applyAlignment="1" applyProtection="1">
      <alignment horizontal="center"/>
      <protection locked="0"/>
    </xf>
    <xf numFmtId="0" fontId="0" fillId="4" borderId="49" xfId="0" applyFill="1" applyBorder="1" applyAlignment="1" applyProtection="1">
      <alignment horizontal="center"/>
      <protection locked="0"/>
    </xf>
    <xf numFmtId="171" fontId="0" fillId="4" borderId="42" xfId="2" applyNumberFormat="1" applyFont="1" applyFill="1" applyBorder="1" applyAlignment="1" applyProtection="1">
      <alignment horizontal="center"/>
      <protection locked="0"/>
    </xf>
    <xf numFmtId="170" fontId="0" fillId="4" borderId="42" xfId="1" applyNumberFormat="1" applyFont="1" applyFill="1" applyBorder="1" applyAlignment="1" applyProtection="1">
      <alignment horizontal="center"/>
      <protection locked="0"/>
    </xf>
    <xf numFmtId="166" fontId="0" fillId="4" borderId="45" xfId="0" applyNumberFormat="1" applyFill="1" applyBorder="1" applyAlignment="1" applyProtection="1">
      <alignment horizontal="center"/>
      <protection locked="0"/>
    </xf>
    <xf numFmtId="166" fontId="0" fillId="4" borderId="45" xfId="1" applyNumberFormat="1" applyFont="1" applyFill="1" applyBorder="1" applyAlignment="1" applyProtection="1">
      <alignment horizontal="center"/>
      <protection locked="0"/>
    </xf>
    <xf numFmtId="2" fontId="6" fillId="5" borderId="14" xfId="0" applyNumberFormat="1" applyFont="1" applyFill="1" applyBorder="1" applyAlignment="1" applyProtection="1">
      <alignment horizontal="right"/>
      <protection hidden="1"/>
    </xf>
    <xf numFmtId="168" fontId="6" fillId="3" borderId="14" xfId="0" applyNumberFormat="1" applyFont="1" applyFill="1" applyBorder="1" applyAlignment="1" applyProtection="1">
      <alignment horizontal="left"/>
      <protection hidden="1"/>
    </xf>
    <xf numFmtId="0" fontId="0" fillId="3" borderId="40" xfId="0" applyFill="1" applyBorder="1" applyAlignment="1" applyProtection="1">
      <alignment horizontal="center"/>
      <protection hidden="1"/>
    </xf>
    <xf numFmtId="0" fontId="6" fillId="3" borderId="27" xfId="0" applyFont="1" applyFill="1" applyBorder="1" applyProtection="1">
      <protection hidden="1"/>
    </xf>
    <xf numFmtId="3" fontId="0" fillId="3" borderId="12" xfId="0" applyNumberFormat="1" applyFill="1" applyBorder="1" applyAlignment="1" applyProtection="1">
      <alignment horizontal="center"/>
      <protection hidden="1"/>
    </xf>
    <xf numFmtId="3" fontId="0" fillId="3" borderId="42" xfId="0" applyNumberFormat="1" applyFill="1" applyBorder="1" applyAlignment="1" applyProtection="1">
      <alignment horizontal="center"/>
      <protection hidden="1"/>
    </xf>
    <xf numFmtId="1" fontId="0" fillId="3" borderId="42" xfId="0" applyNumberFormat="1" applyFill="1" applyBorder="1" applyAlignment="1" applyProtection="1">
      <alignment horizontal="center"/>
      <protection hidden="1"/>
    </xf>
    <xf numFmtId="166" fontId="0" fillId="3" borderId="42" xfId="2" applyNumberFormat="1" applyFont="1" applyFill="1" applyBorder="1" applyAlignment="1" applyProtection="1">
      <alignment horizontal="center"/>
      <protection hidden="1"/>
    </xf>
    <xf numFmtId="166" fontId="0" fillId="3" borderId="42" xfId="0" applyNumberFormat="1" applyFill="1" applyBorder="1" applyAlignment="1" applyProtection="1">
      <alignment horizontal="center"/>
      <protection hidden="1"/>
    </xf>
    <xf numFmtId="170" fontId="6" fillId="3" borderId="42" xfId="0" applyNumberFormat="1" applyFont="1" applyFill="1" applyBorder="1" applyAlignment="1" applyProtection="1">
      <alignment horizontal="center"/>
      <protection hidden="1"/>
    </xf>
    <xf numFmtId="170" fontId="6" fillId="0" borderId="42" xfId="0" applyNumberFormat="1" applyFont="1" applyBorder="1" applyAlignment="1" applyProtection="1">
      <alignment horizontal="center"/>
      <protection hidden="1"/>
    </xf>
    <xf numFmtId="170" fontId="6" fillId="3" borderId="45" xfId="0" applyNumberFormat="1" applyFont="1" applyFill="1" applyBorder="1" applyAlignment="1" applyProtection="1">
      <alignment horizontal="center"/>
      <protection hidden="1"/>
    </xf>
    <xf numFmtId="170" fontId="0" fillId="3" borderId="42" xfId="0" applyNumberFormat="1" applyFill="1" applyBorder="1" applyAlignment="1" applyProtection="1">
      <alignment horizontal="right"/>
      <protection hidden="1"/>
    </xf>
    <xf numFmtId="170" fontId="0" fillId="0" borderId="0" xfId="0" applyNumberFormat="1" applyFill="1" applyBorder="1" applyAlignment="1" applyProtection="1">
      <alignment horizontal="right"/>
      <protection hidden="1"/>
    </xf>
    <xf numFmtId="170" fontId="0" fillId="0" borderId="0" xfId="1" applyNumberFormat="1" applyFont="1" applyFill="1" applyBorder="1" applyAlignment="1" applyProtection="1">
      <alignment horizontal="right"/>
      <protection hidden="1"/>
    </xf>
    <xf numFmtId="170" fontId="6" fillId="0" borderId="0" xfId="0" applyNumberFormat="1" applyFont="1" applyFill="1" applyBorder="1" applyAlignment="1" applyProtection="1">
      <alignment horizontal="right"/>
      <protection hidden="1"/>
    </xf>
    <xf numFmtId="0" fontId="0" fillId="3" borderId="69" xfId="0" applyFill="1" applyBorder="1" applyAlignment="1" applyProtection="1">
      <alignment horizontal="center"/>
      <protection hidden="1"/>
    </xf>
    <xf numFmtId="0" fontId="0" fillId="3" borderId="70" xfId="0" applyFill="1" applyBorder="1" applyAlignment="1" applyProtection="1">
      <alignment horizontal="center"/>
      <protection hidden="1"/>
    </xf>
    <xf numFmtId="170" fontId="6" fillId="3" borderId="14" xfId="0" applyNumberFormat="1" applyFont="1" applyFill="1" applyBorder="1" applyAlignment="1" applyProtection="1">
      <alignment horizontal="right"/>
      <protection hidden="1"/>
    </xf>
    <xf numFmtId="0" fontId="0" fillId="0" borderId="0" xfId="0" applyFill="1" applyBorder="1" applyAlignment="1" applyProtection="1">
      <alignment horizontal="center" wrapText="1"/>
      <protection hidden="1"/>
    </xf>
    <xf numFmtId="166" fontId="0" fillId="0" borderId="0" xfId="0" applyNumberFormat="1" applyFill="1" applyBorder="1" applyAlignment="1" applyProtection="1">
      <alignment horizontal="right"/>
      <protection hidden="1"/>
    </xf>
    <xf numFmtId="8" fontId="0" fillId="0" borderId="0" xfId="0" applyNumberFormat="1" applyFont="1" applyFill="1" applyBorder="1" applyAlignment="1" applyProtection="1">
      <alignment horizontal="center"/>
      <protection hidden="1"/>
    </xf>
    <xf numFmtId="0" fontId="0"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0" fillId="6" borderId="0" xfId="0" applyFill="1" applyProtection="1">
      <protection hidden="1"/>
    </xf>
    <xf numFmtId="10" fontId="0" fillId="0" borderId="0" xfId="0" applyNumberFormat="1" applyAlignment="1" applyProtection="1">
      <alignment horizontal="left"/>
      <protection hidden="1"/>
    </xf>
    <xf numFmtId="0" fontId="0" fillId="4" borderId="0" xfId="0" applyFill="1" applyProtection="1">
      <protection hidden="1"/>
    </xf>
    <xf numFmtId="0" fontId="0" fillId="3" borderId="0" xfId="0" applyFill="1" applyProtection="1">
      <protection hidden="1"/>
    </xf>
    <xf numFmtId="0" fontId="0" fillId="5" borderId="0" xfId="0" applyFill="1" applyProtection="1">
      <protection hidden="1"/>
    </xf>
    <xf numFmtId="0" fontId="0" fillId="0" borderId="0" xfId="0" applyFill="1" applyProtection="1">
      <protection hidden="1"/>
    </xf>
    <xf numFmtId="0" fontId="6" fillId="0" borderId="0" xfId="0" applyFont="1" applyAlignment="1" applyProtection="1">
      <alignment horizontal="left"/>
      <protection hidden="1"/>
    </xf>
    <xf numFmtId="0" fontId="14" fillId="0" borderId="0" xfId="0" applyFont="1" applyFill="1" applyAlignment="1" applyProtection="1">
      <alignment horizontal="left"/>
      <protection hidden="1"/>
    </xf>
    <xf numFmtId="0" fontId="0" fillId="0" borderId="0" xfId="0" applyFill="1" applyAlignment="1" applyProtection="1">
      <alignment horizontal="left"/>
      <protection hidden="1"/>
    </xf>
    <xf numFmtId="0" fontId="0" fillId="0" borderId="0" xfId="0" applyFont="1" applyFill="1" applyAlignment="1" applyProtection="1">
      <alignment horizontal="center"/>
      <protection hidden="1"/>
    </xf>
    <xf numFmtId="2" fontId="0" fillId="0" borderId="0" xfId="0" applyNumberFormat="1" applyProtection="1">
      <protection hidden="1"/>
    </xf>
    <xf numFmtId="0" fontId="14" fillId="0" borderId="0" xfId="0" applyFont="1" applyProtection="1">
      <protection hidden="1"/>
    </xf>
    <xf numFmtId="0" fontId="24" fillId="0" borderId="0" xfId="0" applyFont="1" applyProtection="1">
      <protection hidden="1"/>
    </xf>
    <xf numFmtId="10" fontId="0" fillId="0" borderId="0" xfId="0" applyNumberFormat="1" applyProtection="1">
      <protection hidden="1"/>
    </xf>
    <xf numFmtId="0" fontId="6" fillId="0" borderId="0" xfId="0" applyFont="1" applyBorder="1" applyAlignment="1" applyProtection="1">
      <alignment horizontal="center"/>
      <protection hidden="1"/>
    </xf>
    <xf numFmtId="0" fontId="0" fillId="0" borderId="38" xfId="0" applyFont="1" applyBorder="1" applyAlignment="1" applyProtection="1">
      <alignment horizontal="center"/>
      <protection hidden="1"/>
    </xf>
    <xf numFmtId="0" fontId="0" fillId="0" borderId="9" xfId="0" applyFont="1" applyBorder="1" applyAlignment="1" applyProtection="1">
      <alignment horizontal="center"/>
      <protection hidden="1"/>
    </xf>
    <xf numFmtId="0" fontId="0" fillId="0" borderId="10" xfId="0" applyBorder="1" applyProtection="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0" xfId="0" applyFill="1" applyBorder="1" applyAlignment="1" applyProtection="1">
      <alignment horizontal="left"/>
      <protection hidden="1"/>
    </xf>
    <xf numFmtId="0" fontId="0" fillId="0" borderId="41" xfId="0" applyFont="1" applyBorder="1" applyAlignment="1" applyProtection="1">
      <alignment horizontal="center"/>
      <protection hidden="1"/>
    </xf>
    <xf numFmtId="0" fontId="0" fillId="0" borderId="56" xfId="0" applyBorder="1" applyAlignment="1" applyProtection="1">
      <alignment horizontal="left"/>
      <protection hidden="1"/>
    </xf>
    <xf numFmtId="0" fontId="0" fillId="0" borderId="53" xfId="0" applyBorder="1" applyAlignment="1" applyProtection="1">
      <alignment horizontal="left"/>
      <protection hidden="1"/>
    </xf>
    <xf numFmtId="0" fontId="0" fillId="0" borderId="13" xfId="0" applyFont="1" applyBorder="1" applyAlignment="1" applyProtection="1">
      <alignment horizontal="center"/>
      <protection hidden="1"/>
    </xf>
    <xf numFmtId="0" fontId="0" fillId="0" borderId="56" xfId="0" applyFill="1" applyBorder="1" applyAlignment="1" applyProtection="1">
      <alignment horizontal="left"/>
      <protection hidden="1"/>
    </xf>
    <xf numFmtId="0" fontId="0" fillId="0" borderId="53" xfId="0" applyFill="1" applyBorder="1" applyAlignment="1" applyProtection="1">
      <alignment horizontal="left"/>
      <protection hidden="1"/>
    </xf>
    <xf numFmtId="0" fontId="0" fillId="0" borderId="8" xfId="0" applyBorder="1" applyProtection="1">
      <protection hidden="1"/>
    </xf>
    <xf numFmtId="1" fontId="0" fillId="3" borderId="14" xfId="0" applyNumberFormat="1" applyFill="1" applyBorder="1" applyProtection="1">
      <protection hidden="1"/>
    </xf>
    <xf numFmtId="0" fontId="0" fillId="0" borderId="43" xfId="0" applyFont="1" applyBorder="1" applyAlignment="1" applyProtection="1">
      <alignment horizontal="center"/>
      <protection hidden="1"/>
    </xf>
    <xf numFmtId="0" fontId="0" fillId="0" borderId="57" xfId="0" applyBorder="1" applyAlignment="1" applyProtection="1">
      <alignment horizontal="left"/>
      <protection hidden="1"/>
    </xf>
    <xf numFmtId="0" fontId="0" fillId="0" borderId="54" xfId="0" applyBorder="1" applyAlignment="1" applyProtection="1">
      <alignment horizontal="left"/>
      <protection hidden="1"/>
    </xf>
    <xf numFmtId="0" fontId="0" fillId="0" borderId="0" xfId="0" applyFont="1" applyBorder="1" applyAlignment="1" applyProtection="1">
      <alignment horizontal="center"/>
      <protection hidden="1"/>
    </xf>
    <xf numFmtId="0" fontId="6" fillId="0" borderId="0" xfId="0" applyFont="1" applyProtection="1">
      <protection hidden="1"/>
    </xf>
    <xf numFmtId="0" fontId="0" fillId="0" borderId="0" xfId="0" applyBorder="1" applyAlignment="1" applyProtection="1">
      <alignment horizontal="left" vertical="center"/>
      <protection hidden="1"/>
    </xf>
    <xf numFmtId="0" fontId="6" fillId="0" borderId="46" xfId="0" applyFont="1" applyBorder="1" applyAlignment="1" applyProtection="1">
      <alignment horizontal="left" vertical="center"/>
      <protection hidden="1"/>
    </xf>
    <xf numFmtId="0" fontId="0" fillId="0" borderId="55" xfId="0" applyBorder="1" applyAlignment="1" applyProtection="1">
      <alignment horizontal="left" vertical="center"/>
      <protection hidden="1"/>
    </xf>
    <xf numFmtId="0" fontId="6" fillId="3" borderId="39" xfId="0" applyFont="1" applyFill="1" applyBorder="1" applyAlignment="1" applyProtection="1">
      <alignment horizontal="center"/>
      <protection hidden="1"/>
    </xf>
    <xf numFmtId="0" fontId="6" fillId="3" borderId="40" xfId="0"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10" fontId="0" fillId="0" borderId="0" xfId="0" applyNumberFormat="1" applyFill="1" applyBorder="1" applyAlignment="1" applyProtection="1">
      <alignment horizontal="center"/>
      <protection hidden="1"/>
    </xf>
    <xf numFmtId="0" fontId="0" fillId="0" borderId="8" xfId="0" applyFill="1" applyBorder="1" applyAlignment="1" applyProtection="1">
      <alignment horizontal="left"/>
      <protection hidden="1"/>
    </xf>
    <xf numFmtId="0" fontId="0" fillId="0" borderId="8" xfId="0" applyBorder="1" applyAlignment="1" applyProtection="1">
      <alignment horizontal="left" vertical="center"/>
      <protection hidden="1"/>
    </xf>
    <xf numFmtId="0" fontId="0" fillId="0" borderId="24" xfId="0" applyFont="1" applyBorder="1" applyAlignment="1" applyProtection="1">
      <alignment horizontal="center"/>
      <protection hidden="1"/>
    </xf>
    <xf numFmtId="0" fontId="0" fillId="0" borderId="18" xfId="0" applyFill="1" applyBorder="1" applyAlignment="1" applyProtection="1">
      <alignment horizontal="left"/>
      <protection hidden="1"/>
    </xf>
    <xf numFmtId="0" fontId="0" fillId="0" borderId="0" xfId="0" applyBorder="1" applyAlignment="1" applyProtection="1">
      <alignment horizontal="center"/>
      <protection hidden="1"/>
    </xf>
    <xf numFmtId="0" fontId="0" fillId="0" borderId="35" xfId="0" applyFont="1" applyBorder="1" applyAlignment="1" applyProtection="1">
      <alignment horizontal="center"/>
      <protection hidden="1"/>
    </xf>
    <xf numFmtId="0" fontId="0" fillId="0" borderId="36" xfId="0" applyBorder="1" applyProtection="1">
      <protection hidden="1"/>
    </xf>
    <xf numFmtId="0" fontId="0" fillId="0" borderId="37" xfId="0" applyBorder="1" applyProtection="1">
      <protection hidden="1"/>
    </xf>
    <xf numFmtId="0" fontId="0" fillId="0" borderId="0" xfId="0" applyFill="1" applyBorder="1" applyProtection="1">
      <protection hidden="1"/>
    </xf>
    <xf numFmtId="44" fontId="0" fillId="0" borderId="0" xfId="1" applyFont="1" applyFill="1" applyBorder="1" applyAlignment="1" applyProtection="1">
      <alignment horizontal="center"/>
      <protection hidden="1"/>
    </xf>
    <xf numFmtId="0" fontId="0" fillId="0" borderId="30" xfId="0" applyFont="1" applyBorder="1" applyAlignment="1" applyProtection="1">
      <alignment horizontal="center"/>
      <protection hidden="1"/>
    </xf>
    <xf numFmtId="0" fontId="0" fillId="0" borderId="31" xfId="0" applyBorder="1" applyProtection="1">
      <protection hidden="1"/>
    </xf>
    <xf numFmtId="0" fontId="0" fillId="0" borderId="32" xfId="0" applyBorder="1" applyProtection="1">
      <protection hidden="1"/>
    </xf>
    <xf numFmtId="3" fontId="0" fillId="0" borderId="0" xfId="0" applyNumberFormat="1" applyFill="1" applyBorder="1" applyAlignment="1" applyProtection="1">
      <alignment horizontal="center"/>
      <protection hidden="1"/>
    </xf>
    <xf numFmtId="0" fontId="0" fillId="0" borderId="26" xfId="0" applyFont="1" applyBorder="1" applyAlignment="1" applyProtection="1">
      <alignment horizontal="center"/>
      <protection hidden="1"/>
    </xf>
    <xf numFmtId="0" fontId="6" fillId="0" borderId="19" xfId="0" applyFont="1" applyBorder="1" applyAlignment="1" applyProtection="1">
      <alignment horizontal="left" vertical="center"/>
      <protection hidden="1"/>
    </xf>
    <xf numFmtId="0" fontId="0" fillId="0" borderId="0" xfId="0" applyFont="1" applyFill="1" applyBorder="1" applyAlignment="1" applyProtection="1">
      <alignment horizontal="center"/>
      <protection hidden="1"/>
    </xf>
    <xf numFmtId="0" fontId="6" fillId="0" borderId="0" xfId="0" applyFont="1" applyFill="1" applyBorder="1" applyProtection="1">
      <protection hidden="1"/>
    </xf>
    <xf numFmtId="0" fontId="0" fillId="0" borderId="48" xfId="0" applyFont="1" applyBorder="1" applyAlignment="1" applyProtection="1">
      <alignment horizontal="center"/>
      <protection hidden="1"/>
    </xf>
    <xf numFmtId="0" fontId="0" fillId="0" borderId="18" xfId="0" applyBorder="1" applyAlignment="1" applyProtection="1">
      <alignment horizontal="left" vertical="center"/>
      <protection hidden="1"/>
    </xf>
    <xf numFmtId="0" fontId="0" fillId="0" borderId="51" xfId="0" applyFill="1" applyBorder="1" applyAlignment="1" applyProtection="1">
      <alignment horizontal="left" vertical="center"/>
      <protection hidden="1"/>
    </xf>
    <xf numFmtId="0" fontId="0" fillId="0" borderId="51" xfId="0" applyBorder="1" applyAlignment="1" applyProtection="1">
      <alignment horizontal="left"/>
      <protection hidden="1"/>
    </xf>
    <xf numFmtId="0" fontId="0" fillId="0" borderId="51"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Border="1" applyProtection="1">
      <protection hidden="1"/>
    </xf>
    <xf numFmtId="0" fontId="6" fillId="0" borderId="0" xfId="0" applyFont="1" applyAlignment="1" applyProtection="1">
      <alignment horizontal="center"/>
      <protection hidden="1"/>
    </xf>
    <xf numFmtId="0" fontId="6" fillId="0" borderId="39" xfId="0" applyFont="1" applyFill="1" applyBorder="1" applyAlignment="1" applyProtection="1">
      <alignment horizontal="left" vertical="center"/>
      <protection hidden="1"/>
    </xf>
    <xf numFmtId="0" fontId="0" fillId="0" borderId="39" xfId="0" applyBorder="1" applyAlignment="1" applyProtection="1">
      <alignment horizontal="left"/>
      <protection hidden="1"/>
    </xf>
    <xf numFmtId="0" fontId="0" fillId="0" borderId="19" xfId="0" applyBorder="1" applyAlignment="1" applyProtection="1">
      <alignment horizontal="center"/>
      <protection hidden="1"/>
    </xf>
    <xf numFmtId="0" fontId="0" fillId="0" borderId="8" xfId="0" applyBorder="1" applyAlignment="1" applyProtection="1">
      <alignment horizontal="center"/>
      <protection hidden="1"/>
    </xf>
    <xf numFmtId="0" fontId="0" fillId="0" borderId="8" xfId="0" applyFill="1" applyBorder="1" applyAlignment="1" applyProtection="1">
      <alignment horizontal="left" vertical="center"/>
      <protection hidden="1"/>
    </xf>
    <xf numFmtId="0" fontId="0" fillId="0" borderId="72" xfId="0" applyFill="1" applyBorder="1" applyAlignment="1" applyProtection="1">
      <alignment horizontal="left" vertical="center"/>
      <protection hidden="1"/>
    </xf>
    <xf numFmtId="170" fontId="0" fillId="3" borderId="18" xfId="0" applyNumberFormat="1" applyFill="1" applyBorder="1" applyProtection="1">
      <protection hidden="1"/>
    </xf>
    <xf numFmtId="170" fontId="0" fillId="3" borderId="25" xfId="0" applyNumberFormat="1" applyFill="1" applyBorder="1" applyProtection="1">
      <protection hidden="1"/>
    </xf>
    <xf numFmtId="0" fontId="0" fillId="0" borderId="28" xfId="0" applyFont="1" applyBorder="1" applyAlignment="1" applyProtection="1">
      <alignment horizontal="center"/>
      <protection hidden="1"/>
    </xf>
    <xf numFmtId="0" fontId="6" fillId="0" borderId="8" xfId="0" applyFont="1" applyBorder="1" applyAlignment="1" applyProtection="1">
      <alignment horizontal="left" vertical="center"/>
      <protection hidden="1"/>
    </xf>
    <xf numFmtId="0" fontId="0" fillId="0" borderId="65" xfId="0" applyFont="1" applyBorder="1" applyAlignment="1" applyProtection="1">
      <alignment horizontal="center"/>
      <protection hidden="1"/>
    </xf>
    <xf numFmtId="170" fontId="0" fillId="0" borderId="0" xfId="0" applyNumberFormat="1" applyBorder="1" applyProtection="1">
      <protection hidden="1"/>
    </xf>
    <xf numFmtId="170" fontId="0" fillId="0" borderId="23" xfId="0" applyNumberFormat="1" applyBorder="1" applyProtection="1">
      <protection hidden="1"/>
    </xf>
    <xf numFmtId="0" fontId="6" fillId="0" borderId="8" xfId="0" applyFont="1" applyBorder="1" applyAlignment="1" applyProtection="1">
      <alignment vertical="center"/>
      <protection hidden="1"/>
    </xf>
    <xf numFmtId="0" fontId="6" fillId="0" borderId="0" xfId="0" applyFont="1" applyFill="1" applyBorder="1" applyAlignment="1" applyProtection="1">
      <alignment horizontal="left" vertical="center"/>
      <protection hidden="1"/>
    </xf>
    <xf numFmtId="0" fontId="0" fillId="0" borderId="8" xfId="0" applyBorder="1" applyAlignment="1" applyProtection="1">
      <alignment vertical="center"/>
      <protection hidden="1"/>
    </xf>
    <xf numFmtId="0" fontId="0" fillId="0" borderId="8" xfId="0" applyFont="1" applyBorder="1" applyAlignment="1" applyProtection="1">
      <alignment vertical="center"/>
      <protection hidden="1"/>
    </xf>
    <xf numFmtId="0" fontId="0" fillId="5" borderId="13" xfId="0" applyFont="1" applyFill="1" applyBorder="1" applyAlignment="1" applyProtection="1">
      <alignment horizontal="center"/>
      <protection hidden="1"/>
    </xf>
    <xf numFmtId="0" fontId="6" fillId="5" borderId="8" xfId="0" applyFont="1" applyFill="1" applyBorder="1" applyAlignment="1" applyProtection="1">
      <alignment vertical="center"/>
      <protection hidden="1"/>
    </xf>
    <xf numFmtId="170" fontId="6" fillId="5" borderId="8" xfId="0" applyNumberFormat="1" applyFont="1" applyFill="1" applyBorder="1" applyProtection="1">
      <protection hidden="1"/>
    </xf>
    <xf numFmtId="170" fontId="6" fillId="5" borderId="14" xfId="0" applyNumberFormat="1" applyFont="1" applyFill="1" applyBorder="1" applyProtection="1">
      <protection hidden="1"/>
    </xf>
    <xf numFmtId="0" fontId="6" fillId="0" borderId="0" xfId="0" applyFont="1" applyFill="1" applyBorder="1" applyAlignment="1" applyProtection="1">
      <alignment vertical="center"/>
      <protection hidden="1"/>
    </xf>
    <xf numFmtId="168" fontId="0" fillId="0" borderId="0" xfId="0" applyNumberFormat="1" applyBorder="1" applyAlignment="1" applyProtection="1">
      <alignment horizontal="center"/>
      <protection hidden="1"/>
    </xf>
    <xf numFmtId="8" fontId="6" fillId="5" borderId="8" xfId="0" applyNumberFormat="1" applyFont="1" applyFill="1" applyBorder="1" applyProtection="1">
      <protection hidden="1"/>
    </xf>
    <xf numFmtId="8" fontId="6" fillId="5" borderId="14" xfId="0" applyNumberFormat="1" applyFont="1" applyFill="1" applyBorder="1" applyProtection="1">
      <protection hidden="1"/>
    </xf>
    <xf numFmtId="0" fontId="0" fillId="0" borderId="0" xfId="0" applyFont="1" applyFill="1" applyBorder="1" applyAlignment="1" applyProtection="1">
      <alignment vertical="center"/>
      <protection hidden="1"/>
    </xf>
    <xf numFmtId="2" fontId="6" fillId="5" borderId="8" xfId="0" applyNumberFormat="1" applyFont="1" applyFill="1" applyBorder="1" applyProtection="1">
      <protection hidden="1"/>
    </xf>
    <xf numFmtId="2" fontId="6" fillId="5" borderId="14" xfId="0" applyNumberFormat="1" applyFont="1" applyFill="1" applyBorder="1" applyProtection="1">
      <protection hidden="1"/>
    </xf>
    <xf numFmtId="170" fontId="6" fillId="0" borderId="0" xfId="0" applyNumberFormat="1" applyFont="1" applyFill="1" applyBorder="1" applyProtection="1">
      <protection hidden="1"/>
    </xf>
    <xf numFmtId="0" fontId="6" fillId="0" borderId="8" xfId="0" applyFont="1" applyFill="1" applyBorder="1" applyAlignment="1" applyProtection="1">
      <alignment vertical="center"/>
      <protection hidden="1"/>
    </xf>
    <xf numFmtId="170" fontId="0" fillId="3" borderId="8" xfId="0" applyNumberFormat="1" applyFill="1" applyBorder="1" applyProtection="1">
      <protection hidden="1"/>
    </xf>
    <xf numFmtId="8" fontId="6" fillId="0" borderId="0" xfId="0" applyNumberFormat="1" applyFont="1" applyFill="1" applyBorder="1" applyProtection="1">
      <protection hidden="1"/>
    </xf>
    <xf numFmtId="0" fontId="0" fillId="0" borderId="8" xfId="0" applyFill="1" applyBorder="1" applyAlignment="1" applyProtection="1">
      <alignment horizontal="center"/>
      <protection hidden="1"/>
    </xf>
    <xf numFmtId="0" fontId="0" fillId="0" borderId="15" xfId="0" applyFont="1" applyBorder="1" applyAlignment="1" applyProtection="1">
      <alignment horizontal="center"/>
      <protection hidden="1"/>
    </xf>
    <xf numFmtId="0" fontId="6" fillId="0" borderId="16" xfId="0" applyFont="1" applyFill="1" applyBorder="1" applyAlignment="1" applyProtection="1">
      <alignment vertical="center"/>
      <protection hidden="1"/>
    </xf>
    <xf numFmtId="8" fontId="0" fillId="3" borderId="16" xfId="0" applyNumberFormat="1" applyFont="1" applyFill="1" applyBorder="1" applyProtection="1">
      <protection hidden="1"/>
    </xf>
    <xf numFmtId="8" fontId="0" fillId="3" borderId="17" xfId="0" applyNumberFormat="1" applyFont="1" applyFill="1" applyBorder="1" applyProtection="1">
      <protection hidden="1"/>
    </xf>
    <xf numFmtId="2" fontId="6" fillId="0" borderId="0" xfId="0" applyNumberFormat="1" applyFont="1" applyFill="1" applyBorder="1" applyProtection="1">
      <protection hidden="1"/>
    </xf>
    <xf numFmtId="0" fontId="0" fillId="0" borderId="18" xfId="0" applyBorder="1" applyAlignment="1" applyProtection="1">
      <alignment horizontal="left"/>
      <protection hidden="1"/>
    </xf>
    <xf numFmtId="0" fontId="0" fillId="0" borderId="18" xfId="0" applyBorder="1" applyAlignment="1" applyProtection="1">
      <alignment horizontal="center"/>
      <protection hidden="1"/>
    </xf>
    <xf numFmtId="170" fontId="0" fillId="0" borderId="0" xfId="0" applyNumberFormat="1" applyFill="1" applyBorder="1" applyProtection="1">
      <protection hidden="1"/>
    </xf>
    <xf numFmtId="0" fontId="0" fillId="0" borderId="51" xfId="0" applyBorder="1" applyAlignment="1" applyProtection="1">
      <alignment horizontal="center"/>
      <protection hidden="1"/>
    </xf>
    <xf numFmtId="8" fontId="0" fillId="0" borderId="0" xfId="0" applyNumberFormat="1" applyFont="1" applyFill="1" applyBorder="1" applyProtection="1">
      <protection hidden="1"/>
    </xf>
    <xf numFmtId="0" fontId="0" fillId="0" borderId="71" xfId="0" applyFont="1" applyBorder="1" applyAlignment="1" applyProtection="1">
      <alignment horizontal="center"/>
      <protection hidden="1"/>
    </xf>
    <xf numFmtId="0" fontId="0" fillId="0" borderId="71" xfId="0" applyBorder="1" applyProtection="1">
      <protection hidden="1"/>
    </xf>
    <xf numFmtId="0" fontId="0" fillId="0" borderId="71" xfId="0" applyBorder="1" applyAlignment="1" applyProtection="1">
      <alignment horizontal="left"/>
      <protection hidden="1"/>
    </xf>
    <xf numFmtId="0" fontId="0" fillId="0" borderId="71" xfId="0" applyBorder="1" applyAlignment="1" applyProtection="1">
      <alignment horizontal="center"/>
      <protection hidden="1"/>
    </xf>
    <xf numFmtId="0" fontId="0" fillId="0" borderId="11" xfId="0" applyBorder="1" applyProtection="1">
      <protection hidden="1"/>
    </xf>
    <xf numFmtId="0" fontId="6" fillId="0" borderId="10" xfId="0" applyFont="1" applyBorder="1" applyProtection="1">
      <protection hidden="1"/>
    </xf>
    <xf numFmtId="0" fontId="0" fillId="0" borderId="39" xfId="0" applyFill="1" applyBorder="1" applyAlignment="1" applyProtection="1">
      <alignment horizontal="center"/>
      <protection hidden="1"/>
    </xf>
    <xf numFmtId="0" fontId="0" fillId="0" borderId="39" xfId="0" applyBorder="1" applyAlignment="1" applyProtection="1">
      <alignment horizontal="center"/>
      <protection hidden="1"/>
    </xf>
    <xf numFmtId="0" fontId="6" fillId="0" borderId="8" xfId="0" applyFont="1" applyBorder="1" applyProtection="1">
      <protection hidden="1"/>
    </xf>
    <xf numFmtId="0" fontId="6" fillId="3" borderId="8" xfId="0" applyFont="1" applyFill="1" applyBorder="1" applyProtection="1">
      <protection hidden="1"/>
    </xf>
    <xf numFmtId="0" fontId="6" fillId="3" borderId="14" xfId="0" applyFont="1" applyFill="1" applyBorder="1" applyProtection="1">
      <protection hidden="1"/>
    </xf>
    <xf numFmtId="0" fontId="0" fillId="0" borderId="19" xfId="0" applyBorder="1" applyProtection="1">
      <protection hidden="1"/>
    </xf>
    <xf numFmtId="0" fontId="0" fillId="3" borderId="14" xfId="0" applyFill="1" applyBorder="1" applyProtection="1">
      <protection hidden="1"/>
    </xf>
    <xf numFmtId="0" fontId="0" fillId="0" borderId="18" xfId="0" applyFill="1" applyBorder="1" applyAlignment="1" applyProtection="1">
      <alignment horizontal="left" vertical="center"/>
      <protection hidden="1"/>
    </xf>
    <xf numFmtId="44" fontId="0" fillId="3" borderId="25" xfId="0" applyNumberFormat="1" applyFill="1" applyBorder="1" applyProtection="1">
      <protection hidden="1"/>
    </xf>
    <xf numFmtId="0" fontId="0" fillId="0" borderId="22" xfId="0" applyBorder="1" applyProtection="1">
      <protection hidden="1"/>
    </xf>
    <xf numFmtId="0" fontId="0" fillId="0" borderId="29" xfId="0" applyBorder="1" applyProtection="1">
      <protection hidden="1"/>
    </xf>
    <xf numFmtId="168" fontId="0" fillId="3" borderId="14" xfId="0" applyNumberFormat="1" applyFill="1" applyBorder="1" applyProtection="1">
      <protection hidden="1"/>
    </xf>
    <xf numFmtId="1" fontId="0" fillId="0" borderId="8" xfId="0" applyNumberFormat="1" applyBorder="1" applyAlignment="1" applyProtection="1">
      <alignment horizontal="center"/>
      <protection hidden="1"/>
    </xf>
    <xf numFmtId="0" fontId="0" fillId="0" borderId="34" xfId="0" applyFont="1" applyBorder="1" applyAlignment="1" applyProtection="1">
      <alignment horizontal="center"/>
      <protection hidden="1"/>
    </xf>
    <xf numFmtId="0" fontId="0" fillId="0" borderId="56" xfId="0" applyBorder="1" applyProtection="1">
      <protection hidden="1"/>
    </xf>
    <xf numFmtId="0" fontId="0" fillId="0" borderId="33" xfId="0" applyBorder="1" applyProtection="1">
      <protection hidden="1"/>
    </xf>
    <xf numFmtId="170" fontId="0" fillId="0" borderId="0" xfId="0" applyNumberFormat="1" applyProtection="1">
      <protection hidden="1"/>
    </xf>
    <xf numFmtId="0" fontId="0" fillId="0" borderId="44" xfId="0" applyBorder="1" applyAlignment="1" applyProtection="1">
      <alignment vertical="center"/>
      <protection hidden="1"/>
    </xf>
    <xf numFmtId="0" fontId="0" fillId="0" borderId="44" xfId="0" applyBorder="1" applyAlignment="1" applyProtection="1">
      <alignment horizontal="left" vertical="center"/>
      <protection hidden="1"/>
    </xf>
    <xf numFmtId="0" fontId="0" fillId="0" borderId="44" xfId="0" applyBorder="1" applyAlignment="1" applyProtection="1">
      <alignment horizontal="center"/>
      <protection hidden="1"/>
    </xf>
    <xf numFmtId="0" fontId="6" fillId="0" borderId="27" xfId="0" applyFont="1" applyFill="1" applyBorder="1" applyProtection="1">
      <protection hidden="1"/>
    </xf>
    <xf numFmtId="170" fontId="0" fillId="3" borderId="14" xfId="0" applyNumberFormat="1" applyFill="1" applyBorder="1" applyProtection="1">
      <protection hidden="1"/>
    </xf>
    <xf numFmtId="170" fontId="6" fillId="3" borderId="14" xfId="0" applyNumberFormat="1" applyFont="1" applyFill="1" applyBorder="1" applyProtection="1">
      <protection hidden="1"/>
    </xf>
    <xf numFmtId="168" fontId="6" fillId="3" borderId="14" xfId="0" applyNumberFormat="1" applyFont="1" applyFill="1" applyBorder="1" applyProtection="1">
      <protection hidden="1"/>
    </xf>
    <xf numFmtId="170" fontId="0" fillId="0" borderId="8" xfId="0" applyNumberFormat="1" applyBorder="1" applyProtection="1">
      <protection hidden="1"/>
    </xf>
    <xf numFmtId="170" fontId="0" fillId="0" borderId="14" xfId="0" applyNumberFormat="1" applyFill="1" applyBorder="1" applyProtection="1">
      <protection hidden="1"/>
    </xf>
    <xf numFmtId="0" fontId="0" fillId="0" borderId="13" xfId="0" applyFont="1" applyFill="1" applyBorder="1" applyAlignment="1" applyProtection="1">
      <alignment horizontal="center"/>
      <protection hidden="1"/>
    </xf>
    <xf numFmtId="170" fontId="6" fillId="3" borderId="8" xfId="0" applyNumberFormat="1" applyFont="1" applyFill="1" applyBorder="1" applyProtection="1">
      <protection hidden="1"/>
    </xf>
    <xf numFmtId="0" fontId="6" fillId="0" borderId="39" xfId="0" applyFont="1" applyBorder="1" applyProtection="1">
      <protection hidden="1"/>
    </xf>
    <xf numFmtId="0" fontId="6" fillId="0" borderId="40" xfId="0" applyFont="1" applyBorder="1" applyAlignment="1" applyProtection="1">
      <alignment horizontal="center"/>
      <protection hidden="1"/>
    </xf>
    <xf numFmtId="168" fontId="0" fillId="0" borderId="0" xfId="0" applyNumberFormat="1" applyFill="1" applyBorder="1" applyAlignment="1" applyProtection="1">
      <alignment horizontal="center"/>
      <protection hidden="1"/>
    </xf>
    <xf numFmtId="166" fontId="0" fillId="0" borderId="0" xfId="0" applyNumberFormat="1" applyFill="1" applyBorder="1" applyAlignment="1" applyProtection="1">
      <alignment horizontal="center"/>
      <protection hidden="1"/>
    </xf>
    <xf numFmtId="0" fontId="0" fillId="0" borderId="15" xfId="0" applyFont="1" applyFill="1" applyBorder="1" applyAlignment="1" applyProtection="1">
      <alignment horizontal="center"/>
      <protection hidden="1"/>
    </xf>
    <xf numFmtId="168" fontId="0" fillId="0" borderId="0" xfId="0" applyNumberFormat="1" applyFont="1" applyFill="1" applyBorder="1" applyAlignment="1" applyProtection="1">
      <alignment horizontal="center"/>
      <protection hidden="1"/>
    </xf>
    <xf numFmtId="166" fontId="0" fillId="0" borderId="0" xfId="2" applyNumberFormat="1" applyFont="1" applyFill="1" applyBorder="1" applyAlignment="1" applyProtection="1">
      <alignment horizontal="center"/>
      <protection hidden="1"/>
    </xf>
    <xf numFmtId="0" fontId="0" fillId="0" borderId="8" xfId="0" applyFont="1" applyFill="1" applyBorder="1" applyProtection="1">
      <protection hidden="1"/>
    </xf>
    <xf numFmtId="0" fontId="0" fillId="0" borderId="19" xfId="0" applyFont="1" applyFill="1" applyBorder="1" applyProtection="1">
      <protection hidden="1"/>
    </xf>
    <xf numFmtId="0" fontId="0" fillId="0" borderId="8" xfId="0" applyFont="1" applyFill="1" applyBorder="1" applyAlignment="1" applyProtection="1">
      <alignment horizontal="left"/>
      <protection hidden="1"/>
    </xf>
    <xf numFmtId="44" fontId="0" fillId="0" borderId="0" xfId="1" applyFont="1" applyFill="1" applyBorder="1" applyAlignment="1" applyProtection="1">
      <alignment horizontal="left"/>
      <protection hidden="1"/>
    </xf>
    <xf numFmtId="44" fontId="0" fillId="0" borderId="0" xfId="1" applyFont="1" applyFill="1" applyBorder="1" applyAlignment="1" applyProtection="1">
      <alignment horizontal="right"/>
      <protection hidden="1"/>
    </xf>
    <xf numFmtId="0" fontId="0" fillId="0" borderId="18" xfId="0" applyFont="1" applyFill="1" applyBorder="1" applyProtection="1">
      <protection hidden="1"/>
    </xf>
    <xf numFmtId="170" fontId="0" fillId="3" borderId="29" xfId="0" applyNumberFormat="1" applyFill="1" applyBorder="1" applyProtection="1">
      <protection hidden="1"/>
    </xf>
    <xf numFmtId="169" fontId="0" fillId="0" borderId="0" xfId="0" applyNumberFormat="1" applyFill="1" applyBorder="1" applyAlignment="1" applyProtection="1">
      <alignment horizontal="center"/>
      <protection hidden="1"/>
    </xf>
    <xf numFmtId="169" fontId="0" fillId="0" borderId="0" xfId="0" applyNumberFormat="1" applyFill="1" applyBorder="1" applyAlignment="1" applyProtection="1">
      <alignment horizontal="right"/>
      <protection hidden="1"/>
    </xf>
    <xf numFmtId="166" fontId="0" fillId="0" borderId="0" xfId="1" applyNumberFormat="1" applyFont="1" applyFill="1" applyBorder="1" applyAlignment="1" applyProtection="1">
      <alignment horizontal="center"/>
      <protection hidden="1"/>
    </xf>
    <xf numFmtId="0" fontId="0" fillId="0" borderId="16" xfId="0" applyBorder="1" applyProtection="1">
      <protection hidden="1"/>
    </xf>
    <xf numFmtId="0" fontId="0" fillId="0" borderId="17" xfId="0" applyBorder="1" applyProtection="1">
      <protection hidden="1"/>
    </xf>
    <xf numFmtId="0" fontId="0" fillId="0" borderId="66" xfId="0" applyFill="1" applyBorder="1" applyProtection="1">
      <protection hidden="1"/>
    </xf>
    <xf numFmtId="0" fontId="6" fillId="0" borderId="8" xfId="0" applyFont="1" applyFill="1" applyBorder="1" applyAlignment="1" applyProtection="1">
      <alignment horizontal="left"/>
      <protection hidden="1"/>
    </xf>
    <xf numFmtId="0" fontId="0" fillId="0" borderId="14" xfId="0" applyFill="1" applyBorder="1" applyProtection="1">
      <protection hidden="1"/>
    </xf>
    <xf numFmtId="0" fontId="0" fillId="0" borderId="0" xfId="0" applyFill="1" applyBorder="1" applyAlignment="1" applyProtection="1">
      <alignment horizontal="right"/>
      <protection hidden="1"/>
    </xf>
    <xf numFmtId="0" fontId="0" fillId="0" borderId="44" xfId="0" applyBorder="1" applyAlignment="1" applyProtection="1">
      <alignment horizontal="left"/>
      <protection hidden="1"/>
    </xf>
    <xf numFmtId="168" fontId="0" fillId="0" borderId="0" xfId="0" applyNumberFormat="1" applyFill="1" applyBorder="1" applyAlignment="1" applyProtection="1">
      <alignment horizontal="left"/>
      <protection hidden="1"/>
    </xf>
    <xf numFmtId="170" fontId="0" fillId="3" borderId="17" xfId="0" applyNumberFormat="1" applyFill="1" applyBorder="1" applyProtection="1">
      <protection hidden="1"/>
    </xf>
    <xf numFmtId="0" fontId="0" fillId="0" borderId="59" xfId="0" applyFill="1" applyBorder="1" applyAlignment="1" applyProtection="1">
      <alignment horizontal="center"/>
      <protection hidden="1"/>
    </xf>
    <xf numFmtId="0" fontId="0" fillId="0" borderId="62" xfId="0" applyFill="1" applyBorder="1" applyAlignment="1" applyProtection="1">
      <alignment horizontal="center"/>
      <protection hidden="1"/>
    </xf>
    <xf numFmtId="0" fontId="0" fillId="0" borderId="60" xfId="0" applyFill="1" applyBorder="1" applyAlignment="1" applyProtection="1">
      <alignment horizontal="center"/>
      <protection hidden="1"/>
    </xf>
    <xf numFmtId="0" fontId="0" fillId="0" borderId="63" xfId="0" applyFill="1" applyBorder="1" applyAlignment="1" applyProtection="1">
      <alignment horizontal="center"/>
      <protection hidden="1"/>
    </xf>
    <xf numFmtId="0" fontId="0" fillId="0" borderId="61" xfId="0" applyFill="1" applyBorder="1" applyAlignment="1" applyProtection="1">
      <alignment horizontal="center"/>
      <protection hidden="1"/>
    </xf>
    <xf numFmtId="0" fontId="0" fillId="0" borderId="64" xfId="0" applyFill="1" applyBorder="1" applyAlignment="1" applyProtection="1">
      <alignment horizontal="center"/>
      <protection hidden="1"/>
    </xf>
    <xf numFmtId="0" fontId="0" fillId="0" borderId="20" xfId="0" applyFill="1" applyBorder="1" applyAlignment="1" applyProtection="1">
      <alignment horizontal="center"/>
      <protection hidden="1"/>
    </xf>
    <xf numFmtId="0" fontId="0" fillId="0" borderId="42" xfId="0" applyFill="1" applyBorder="1" applyAlignment="1" applyProtection="1">
      <alignment horizontal="center"/>
      <protection hidden="1"/>
    </xf>
    <xf numFmtId="0" fontId="0" fillId="0" borderId="20" xfId="0" applyBorder="1" applyAlignment="1" applyProtection="1">
      <alignment horizontal="center"/>
      <protection hidden="1"/>
    </xf>
    <xf numFmtId="44" fontId="0" fillId="0" borderId="51" xfId="1" applyFont="1" applyFill="1" applyBorder="1" applyAlignment="1" applyProtection="1">
      <alignment horizontal="center"/>
      <protection hidden="1"/>
    </xf>
    <xf numFmtId="0" fontId="0" fillId="0" borderId="0" xfId="0" applyAlignment="1" applyProtection="1">
      <alignment horizontal="center" wrapText="1"/>
      <protection hidden="1"/>
    </xf>
    <xf numFmtId="0" fontId="15" fillId="0" borderId="0" xfId="0" applyFont="1" applyAlignment="1" applyProtection="1">
      <alignment horizontal="left"/>
      <protection hidden="1"/>
    </xf>
    <xf numFmtId="0" fontId="0" fillId="0" borderId="8" xfId="0" applyFont="1" applyFill="1" applyBorder="1" applyAlignment="1" applyProtection="1">
      <alignment horizontal="left" vertical="center"/>
      <protection hidden="1"/>
    </xf>
    <xf numFmtId="0" fontId="6" fillId="3" borderId="39" xfId="0" applyFont="1" applyFill="1" applyBorder="1" applyProtection="1">
      <protection hidden="1"/>
    </xf>
    <xf numFmtId="0" fontId="0" fillId="3" borderId="39" xfId="0" applyFill="1" applyBorder="1" applyAlignment="1" applyProtection="1">
      <alignment horizontal="left"/>
      <protection hidden="1"/>
    </xf>
    <xf numFmtId="0" fontId="0" fillId="0" borderId="46" xfId="0" applyBorder="1" applyAlignment="1" applyProtection="1">
      <alignment horizontal="center"/>
      <protection hidden="1"/>
    </xf>
    <xf numFmtId="0" fontId="0" fillId="3" borderId="8" xfId="0" applyFill="1" applyBorder="1" applyProtection="1">
      <protection hidden="1"/>
    </xf>
    <xf numFmtId="0" fontId="0" fillId="3" borderId="8" xfId="0" applyFill="1" applyBorder="1" applyAlignment="1" applyProtection="1">
      <alignment horizontal="left"/>
      <protection hidden="1"/>
    </xf>
    <xf numFmtId="0" fontId="0" fillId="0" borderId="42" xfId="0" applyBorder="1" applyAlignment="1" applyProtection="1">
      <alignment horizontal="center"/>
      <protection hidden="1"/>
    </xf>
    <xf numFmtId="0" fontId="6" fillId="3" borderId="8" xfId="0" applyFont="1" applyFill="1" applyBorder="1" applyAlignment="1" applyProtection="1">
      <alignment vertical="center"/>
      <protection hidden="1"/>
    </xf>
    <xf numFmtId="170" fontId="6" fillId="3" borderId="8" xfId="0" applyNumberFormat="1" applyFont="1" applyFill="1" applyBorder="1" applyAlignment="1" applyProtection="1">
      <alignment horizontal="center"/>
      <protection hidden="1"/>
    </xf>
    <xf numFmtId="170" fontId="6" fillId="3" borderId="20" xfId="0" applyNumberFormat="1" applyFont="1" applyFill="1" applyBorder="1" applyAlignment="1" applyProtection="1">
      <alignment horizontal="center"/>
      <protection hidden="1"/>
    </xf>
    <xf numFmtId="0" fontId="6" fillId="3" borderId="8" xfId="0" applyFont="1" applyFill="1" applyBorder="1" applyAlignment="1" applyProtection="1">
      <alignment horizontal="left"/>
      <protection hidden="1"/>
    </xf>
    <xf numFmtId="8" fontId="6" fillId="0" borderId="8" xfId="0" applyNumberFormat="1" applyFont="1" applyBorder="1" applyAlignment="1" applyProtection="1">
      <alignment horizontal="center"/>
      <protection hidden="1"/>
    </xf>
    <xf numFmtId="170" fontId="6" fillId="0" borderId="8" xfId="0" applyNumberFormat="1" applyFont="1" applyBorder="1" applyAlignment="1" applyProtection="1">
      <alignment horizontal="center"/>
      <protection hidden="1"/>
    </xf>
    <xf numFmtId="170" fontId="6" fillId="0" borderId="20" xfId="0" applyNumberFormat="1" applyFont="1" applyBorder="1" applyAlignment="1" applyProtection="1">
      <alignment horizontal="center"/>
      <protection hidden="1"/>
    </xf>
    <xf numFmtId="2" fontId="6" fillId="0" borderId="8" xfId="0" applyNumberFormat="1" applyFont="1" applyFill="1" applyBorder="1" applyAlignment="1" applyProtection="1">
      <alignment horizontal="center"/>
      <protection hidden="1"/>
    </xf>
    <xf numFmtId="2" fontId="6" fillId="0" borderId="20" xfId="0" applyNumberFormat="1" applyFont="1" applyFill="1" applyBorder="1" applyAlignment="1" applyProtection="1">
      <alignment horizontal="center"/>
      <protection hidden="1"/>
    </xf>
    <xf numFmtId="0" fontId="6" fillId="3" borderId="44" xfId="0" applyFont="1" applyFill="1" applyBorder="1" applyProtection="1">
      <protection hidden="1"/>
    </xf>
    <xf numFmtId="0" fontId="0" fillId="3" borderId="44" xfId="0" applyFill="1" applyBorder="1" applyAlignment="1" applyProtection="1">
      <alignment horizontal="left"/>
      <protection hidden="1"/>
    </xf>
    <xf numFmtId="8" fontId="6" fillId="3" borderId="44" xfId="0" applyNumberFormat="1" applyFont="1" applyFill="1" applyBorder="1" applyAlignment="1" applyProtection="1">
      <alignment horizontal="center"/>
      <protection hidden="1"/>
    </xf>
    <xf numFmtId="170" fontId="6" fillId="3" borderId="44" xfId="0" applyNumberFormat="1" applyFont="1" applyFill="1" applyBorder="1" applyAlignment="1" applyProtection="1">
      <alignment horizontal="center"/>
      <protection hidden="1"/>
    </xf>
    <xf numFmtId="44" fontId="6" fillId="3" borderId="44" xfId="0" applyNumberFormat="1" applyFont="1" applyFill="1" applyBorder="1" applyAlignment="1" applyProtection="1">
      <alignment horizontal="center"/>
      <protection hidden="1"/>
    </xf>
    <xf numFmtId="170" fontId="6" fillId="3" borderId="58" xfId="0" applyNumberFormat="1" applyFont="1" applyFill="1" applyBorder="1" applyAlignment="1" applyProtection="1">
      <alignment horizontal="center"/>
      <protection hidden="1"/>
    </xf>
    <xf numFmtId="0" fontId="0" fillId="3" borderId="55" xfId="0" applyFill="1" applyBorder="1" applyProtection="1">
      <protection hidden="1"/>
    </xf>
    <xf numFmtId="0" fontId="0" fillId="3" borderId="55" xfId="0" applyFill="1" applyBorder="1" applyAlignment="1" applyProtection="1">
      <alignment horizontal="left"/>
      <protection hidden="1"/>
    </xf>
    <xf numFmtId="0" fontId="0" fillId="3" borderId="56" xfId="0" applyFill="1" applyBorder="1" applyProtection="1">
      <protection hidden="1"/>
    </xf>
    <xf numFmtId="0" fontId="0" fillId="3" borderId="56" xfId="0" applyFill="1" applyBorder="1" applyAlignment="1" applyProtection="1">
      <alignment horizontal="left"/>
      <protection hidden="1"/>
    </xf>
    <xf numFmtId="170" fontId="0" fillId="3" borderId="20" xfId="0" applyNumberFormat="1" applyFill="1" applyBorder="1" applyAlignment="1" applyProtection="1">
      <alignment horizontal="right"/>
      <protection hidden="1"/>
    </xf>
    <xf numFmtId="170" fontId="0" fillId="0" borderId="8" xfId="0" applyNumberFormat="1" applyBorder="1" applyAlignment="1" applyProtection="1">
      <alignment horizontal="right"/>
      <protection hidden="1"/>
    </xf>
    <xf numFmtId="170" fontId="0" fillId="0" borderId="20" xfId="0" applyNumberFormat="1" applyBorder="1" applyAlignment="1" applyProtection="1">
      <alignment horizontal="right"/>
      <protection hidden="1"/>
    </xf>
    <xf numFmtId="0" fontId="0" fillId="3" borderId="12" xfId="0" applyFill="1" applyBorder="1" applyProtection="1">
      <protection hidden="1"/>
    </xf>
    <xf numFmtId="0" fontId="0" fillId="3" borderId="57" xfId="0" applyFill="1" applyBorder="1" applyProtection="1">
      <protection hidden="1"/>
    </xf>
    <xf numFmtId="0" fontId="0" fillId="3" borderId="57" xfId="0" applyFill="1" applyBorder="1" applyAlignment="1" applyProtection="1">
      <alignment horizontal="left"/>
      <protection hidden="1"/>
    </xf>
    <xf numFmtId="166" fontId="0" fillId="0" borderId="44" xfId="0" applyNumberFormat="1" applyFill="1" applyBorder="1" applyAlignment="1" applyProtection="1">
      <alignment horizontal="right"/>
      <protection hidden="1"/>
    </xf>
    <xf numFmtId="166" fontId="0" fillId="0" borderId="58" xfId="0" applyNumberFormat="1" applyFill="1" applyBorder="1" applyAlignment="1" applyProtection="1">
      <alignment horizontal="right"/>
      <protection hidden="1"/>
    </xf>
    <xf numFmtId="0" fontId="24" fillId="0" borderId="0" xfId="0" applyFont="1" applyFill="1" applyBorder="1" applyProtection="1">
      <protection hidden="1"/>
    </xf>
    <xf numFmtId="170" fontId="6" fillId="0" borderId="50" xfId="0" applyNumberFormat="1" applyFont="1" applyFill="1" applyBorder="1" applyAlignment="1" applyProtection="1">
      <alignment horizontal="right"/>
      <protection hidden="1"/>
    </xf>
    <xf numFmtId="170" fontId="0" fillId="0" borderId="50" xfId="0" applyNumberFormat="1" applyFont="1" applyFill="1" applyBorder="1" applyAlignment="1" applyProtection="1">
      <alignment horizontal="right"/>
      <protection hidden="1"/>
    </xf>
    <xf numFmtId="0" fontId="0" fillId="0" borderId="0" xfId="0" applyFill="1" applyAlignment="1" applyProtection="1">
      <alignment horizontal="right"/>
      <protection hidden="1"/>
    </xf>
    <xf numFmtId="0" fontId="0" fillId="4" borderId="52" xfId="0" applyFill="1" applyBorder="1" applyAlignment="1" applyProtection="1">
      <alignment horizontal="center"/>
      <protection locked="0"/>
    </xf>
    <xf numFmtId="0" fontId="0" fillId="4" borderId="53" xfId="0" applyFill="1" applyBorder="1" applyAlignment="1" applyProtection="1">
      <alignment horizontal="center"/>
      <protection locked="0"/>
    </xf>
    <xf numFmtId="0" fontId="0" fillId="4" borderId="40" xfId="0" applyFill="1" applyBorder="1" applyAlignment="1" applyProtection="1">
      <alignment horizontal="center"/>
      <protection locked="0"/>
    </xf>
    <xf numFmtId="10" fontId="0" fillId="4" borderId="73" xfId="0" applyNumberFormat="1" applyFill="1" applyBorder="1" applyAlignment="1" applyProtection="1">
      <alignment horizontal="center"/>
      <protection locked="0"/>
    </xf>
    <xf numFmtId="0" fontId="0" fillId="4" borderId="42" xfId="0" applyFill="1" applyBorder="1" applyAlignment="1" applyProtection="1">
      <alignment horizontal="center" vertical="center"/>
      <protection locked="0"/>
    </xf>
    <xf numFmtId="1" fontId="0" fillId="4" borderId="42" xfId="0" applyNumberFormat="1" applyFill="1" applyBorder="1" applyAlignment="1" applyProtection="1">
      <alignment horizontal="center"/>
      <protection locked="0"/>
    </xf>
    <xf numFmtId="169" fontId="0" fillId="4" borderId="42" xfId="0" applyNumberFormat="1" applyFill="1" applyBorder="1" applyAlignment="1" applyProtection="1">
      <alignment horizontal="center"/>
      <protection locked="0"/>
    </xf>
    <xf numFmtId="166" fontId="0" fillId="4" borderId="42" xfId="0" applyNumberFormat="1" applyFill="1" applyBorder="1" applyAlignment="1" applyProtection="1">
      <alignment horizontal="center" vertical="center"/>
      <protection locked="0"/>
    </xf>
    <xf numFmtId="171" fontId="0" fillId="4" borderId="42" xfId="2" applyNumberFormat="1" applyFont="1" applyFill="1" applyBorder="1" applyAlignment="1" applyProtection="1">
      <alignment horizontal="center" vertical="center"/>
      <protection locked="0"/>
    </xf>
    <xf numFmtId="170" fontId="0" fillId="4" borderId="42" xfId="0" applyNumberFormat="1" applyFill="1" applyBorder="1" applyAlignment="1" applyProtection="1">
      <alignment horizontal="right"/>
      <protection locked="0"/>
    </xf>
    <xf numFmtId="9" fontId="0" fillId="4" borderId="42" xfId="2" applyFont="1" applyFill="1" applyBorder="1" applyAlignment="1" applyProtection="1">
      <alignment horizontal="center" vertical="center"/>
      <protection locked="0"/>
    </xf>
    <xf numFmtId="9" fontId="0" fillId="4" borderId="45" xfId="2" applyFont="1" applyFill="1" applyBorder="1" applyAlignment="1" applyProtection="1">
      <alignment horizontal="center" vertical="center"/>
      <protection locked="0"/>
    </xf>
    <xf numFmtId="0" fontId="6" fillId="0" borderId="44" xfId="0" applyFont="1" applyBorder="1" applyAlignment="1" applyProtection="1">
      <alignment horizontal="left"/>
      <protection hidden="1"/>
    </xf>
    <xf numFmtId="166" fontId="27" fillId="0" borderId="50" xfId="0" applyNumberFormat="1" applyFont="1" applyFill="1" applyBorder="1" applyAlignment="1" applyProtection="1">
      <alignment horizontal="right"/>
      <protection hidden="1"/>
    </xf>
    <xf numFmtId="166" fontId="27" fillId="0" borderId="0" xfId="0" applyNumberFormat="1" applyFont="1" applyFill="1" applyBorder="1" applyAlignment="1" applyProtection="1">
      <alignment horizontal="right"/>
      <protection hidden="1"/>
    </xf>
    <xf numFmtId="0" fontId="34" fillId="0" borderId="0" xfId="0" applyFont="1" applyAlignment="1" applyProtection="1">
      <alignment horizontal="left"/>
      <protection hidden="1"/>
    </xf>
    <xf numFmtId="0" fontId="25" fillId="0" borderId="0" xfId="0" applyFont="1" applyProtection="1">
      <protection hidden="1"/>
    </xf>
    <xf numFmtId="0" fontId="14" fillId="0" borderId="0" xfId="0" applyFont="1" applyAlignment="1" applyProtection="1">
      <alignment horizontal="left"/>
      <protection hidden="1"/>
    </xf>
    <xf numFmtId="0" fontId="7" fillId="0" borderId="0" xfId="0" applyFont="1" applyProtection="1">
      <protection hidden="1"/>
    </xf>
    <xf numFmtId="0" fontId="0" fillId="0" borderId="1" xfId="0" applyBorder="1" applyProtection="1">
      <protection hidden="1"/>
    </xf>
    <xf numFmtId="0" fontId="0" fillId="7" borderId="1" xfId="0" applyFill="1" applyBorder="1" applyAlignment="1" applyProtection="1">
      <alignment wrapText="1"/>
      <protection hidden="1"/>
    </xf>
    <xf numFmtId="0" fontId="0" fillId="0" borderId="1" xfId="0" applyBorder="1" applyAlignment="1" applyProtection="1">
      <alignment wrapText="1"/>
      <protection hidden="1"/>
    </xf>
    <xf numFmtId="0" fontId="21" fillId="0" borderId="5" xfId="0" applyFont="1" applyFill="1" applyBorder="1" applyAlignment="1" applyProtection="1">
      <alignment wrapText="1"/>
      <protection hidden="1"/>
    </xf>
    <xf numFmtId="44" fontId="0" fillId="0" borderId="1" xfId="1" applyFont="1" applyBorder="1" applyProtection="1">
      <protection hidden="1"/>
    </xf>
    <xf numFmtId="44" fontId="0" fillId="3" borderId="2" xfId="1" applyFont="1" applyFill="1" applyBorder="1" applyProtection="1">
      <protection hidden="1"/>
    </xf>
    <xf numFmtId="0" fontId="0" fillId="0" borderId="3" xfId="0" applyBorder="1" applyProtection="1">
      <protection hidden="1"/>
    </xf>
    <xf numFmtId="0" fontId="15" fillId="0" borderId="0" xfId="0" applyFont="1" applyProtection="1">
      <protection hidden="1"/>
    </xf>
    <xf numFmtId="0" fontId="16" fillId="0" borderId="3" xfId="0" applyFont="1" applyBorder="1" applyProtection="1">
      <protection hidden="1"/>
    </xf>
    <xf numFmtId="0" fontId="0" fillId="0" borderId="4" xfId="0" applyBorder="1" applyProtection="1">
      <protection hidden="1"/>
    </xf>
    <xf numFmtId="167" fontId="6" fillId="0" borderId="0" xfId="0" applyNumberFormat="1" applyFont="1" applyProtection="1">
      <protection hidden="1"/>
    </xf>
    <xf numFmtId="44" fontId="6" fillId="5" borderId="0" xfId="1" applyFont="1" applyFill="1" applyProtection="1">
      <protection hidden="1"/>
    </xf>
    <xf numFmtId="44" fontId="6" fillId="0" borderId="0" xfId="1" applyFont="1" applyProtection="1">
      <protection hidden="1"/>
    </xf>
    <xf numFmtId="44" fontId="6" fillId="5" borderId="0" xfId="0" applyNumberFormat="1" applyFont="1" applyFill="1" applyProtection="1">
      <protection hidden="1"/>
    </xf>
    <xf numFmtId="0" fontId="0" fillId="0" borderId="0" xfId="0" applyAlignment="1" applyProtection="1">
      <alignment horizontal="right"/>
      <protection hidden="1"/>
    </xf>
    <xf numFmtId="0" fontId="16" fillId="0" borderId="0" xfId="0" applyFont="1" applyProtection="1">
      <protection hidden="1"/>
    </xf>
    <xf numFmtId="0" fontId="20" fillId="4" borderId="1" xfId="0" applyFont="1" applyFill="1" applyBorder="1" applyProtection="1">
      <protection locked="0"/>
    </xf>
    <xf numFmtId="167" fontId="9" fillId="4" borderId="1" xfId="0" applyNumberFormat="1" applyFont="1" applyFill="1" applyBorder="1" applyAlignment="1" applyProtection="1">
      <alignment horizontal="right"/>
      <protection locked="0"/>
    </xf>
    <xf numFmtId="0" fontId="0" fillId="4" borderId="1" xfId="0" applyFill="1" applyBorder="1" applyProtection="1">
      <protection locked="0"/>
    </xf>
    <xf numFmtId="0" fontId="9" fillId="4" borderId="1" xfId="0" applyFont="1" applyFill="1" applyBorder="1" applyAlignment="1" applyProtection="1">
      <alignment vertical="top"/>
      <protection locked="0"/>
    </xf>
    <xf numFmtId="0" fontId="5" fillId="4" borderId="1" xfId="0" applyFont="1" applyFill="1" applyBorder="1" applyAlignment="1" applyProtection="1">
      <alignment vertical="top"/>
      <protection locked="0"/>
    </xf>
    <xf numFmtId="0" fontId="20" fillId="4" borderId="1" xfId="0" applyFont="1" applyFill="1" applyBorder="1" applyAlignment="1" applyProtection="1">
      <alignment vertical="top"/>
      <protection locked="0"/>
    </xf>
    <xf numFmtId="0" fontId="14" fillId="4" borderId="1" xfId="0" applyFont="1" applyFill="1" applyBorder="1" applyProtection="1">
      <protection locked="0"/>
    </xf>
    <xf numFmtId="0" fontId="14" fillId="4" borderId="7" xfId="0" applyFont="1" applyFill="1" applyBorder="1" applyProtection="1">
      <protection locked="0"/>
    </xf>
    <xf numFmtId="167" fontId="9" fillId="4" borderId="7" xfId="0" applyNumberFormat="1" applyFont="1" applyFill="1" applyBorder="1" applyAlignment="1" applyProtection="1">
      <alignment horizontal="right"/>
      <protection locked="0"/>
    </xf>
    <xf numFmtId="0" fontId="0" fillId="4" borderId="0" xfId="0" applyFill="1" applyProtection="1">
      <protection locked="0"/>
    </xf>
    <xf numFmtId="0" fontId="0" fillId="4" borderId="7" xfId="0" applyFill="1" applyBorder="1" applyProtection="1">
      <protection locked="0"/>
    </xf>
    <xf numFmtId="0" fontId="0" fillId="0" borderId="132" xfId="0" applyBorder="1" applyProtection="1">
      <protection hidden="1"/>
    </xf>
    <xf numFmtId="0" fontId="0" fillId="0" borderId="41" xfId="0" applyBorder="1" applyProtection="1">
      <protection hidden="1"/>
    </xf>
    <xf numFmtId="0" fontId="0" fillId="0" borderId="43" xfId="0" applyBorder="1" applyProtection="1">
      <protection hidden="1"/>
    </xf>
    <xf numFmtId="0" fontId="0" fillId="0" borderId="86" xfId="0" applyBorder="1" applyProtection="1">
      <protection hidden="1"/>
    </xf>
    <xf numFmtId="0" fontId="0" fillId="0" borderId="0" xfId="0" applyNumberFormat="1" applyProtection="1">
      <protection hidden="1"/>
    </xf>
    <xf numFmtId="0" fontId="0" fillId="0" borderId="2" xfId="0" applyFill="1" applyBorder="1" applyProtection="1">
      <protection hidden="1"/>
    </xf>
    <xf numFmtId="0" fontId="6" fillId="0" borderId="102" xfId="0" applyFont="1" applyBorder="1" applyProtection="1">
      <protection hidden="1"/>
    </xf>
    <xf numFmtId="0" fontId="0" fillId="0" borderId="103" xfId="0" applyBorder="1" applyProtection="1">
      <protection hidden="1"/>
    </xf>
    <xf numFmtId="0" fontId="0" fillId="0" borderId="104" xfId="0" applyBorder="1" applyProtection="1">
      <protection hidden="1"/>
    </xf>
    <xf numFmtId="0" fontId="31" fillId="0" borderId="105" xfId="7" applyFont="1" applyBorder="1" applyProtection="1">
      <protection hidden="1"/>
    </xf>
    <xf numFmtId="0" fontId="0" fillId="0" borderId="100" xfId="0" applyBorder="1" applyProtection="1">
      <protection hidden="1"/>
    </xf>
    <xf numFmtId="167" fontId="0" fillId="5" borderId="102" xfId="0" applyNumberFormat="1" applyFill="1" applyBorder="1" applyProtection="1">
      <protection hidden="1"/>
    </xf>
    <xf numFmtId="0" fontId="31" fillId="0" borderId="107" xfId="7" applyFont="1" applyBorder="1" applyProtection="1">
      <protection hidden="1"/>
    </xf>
    <xf numFmtId="0" fontId="0" fillId="0" borderId="101" xfId="0" applyBorder="1" applyProtection="1">
      <protection hidden="1"/>
    </xf>
    <xf numFmtId="0" fontId="0" fillId="5" borderId="0" xfId="0" applyFill="1" applyBorder="1" applyProtection="1">
      <protection hidden="1"/>
    </xf>
    <xf numFmtId="0" fontId="31" fillId="0" borderId="109" xfId="7" applyFont="1" applyBorder="1" applyAlignment="1" applyProtection="1">
      <alignment vertical="top"/>
      <protection hidden="1"/>
    </xf>
    <xf numFmtId="0" fontId="0" fillId="0" borderId="110" xfId="0" applyBorder="1" applyProtection="1">
      <protection hidden="1"/>
    </xf>
    <xf numFmtId="44" fontId="0" fillId="4" borderId="111" xfId="0" applyNumberFormat="1" applyFill="1" applyBorder="1" applyProtection="1">
      <protection hidden="1"/>
    </xf>
    <xf numFmtId="0" fontId="37" fillId="0" borderId="112" xfId="7" applyFont="1" applyFill="1" applyBorder="1" applyProtection="1">
      <protection hidden="1"/>
    </xf>
    <xf numFmtId="0" fontId="0" fillId="0" borderId="113" xfId="0" applyBorder="1" applyProtection="1">
      <protection hidden="1"/>
    </xf>
    <xf numFmtId="0" fontId="0" fillId="0" borderId="114" xfId="0" applyBorder="1" applyProtection="1">
      <protection hidden="1"/>
    </xf>
    <xf numFmtId="0" fontId="0" fillId="0" borderId="108" xfId="0" quotePrefix="1" applyBorder="1" applyProtection="1">
      <protection hidden="1"/>
    </xf>
    <xf numFmtId="1" fontId="0" fillId="0" borderId="108" xfId="0" applyNumberFormat="1" applyBorder="1" applyProtection="1">
      <protection hidden="1"/>
    </xf>
    <xf numFmtId="44" fontId="0" fillId="0" borderId="108" xfId="0" applyNumberFormat="1" applyBorder="1" applyProtection="1">
      <protection hidden="1"/>
    </xf>
    <xf numFmtId="0" fontId="31" fillId="0" borderId="115" xfId="7" applyFont="1" applyBorder="1" applyProtection="1">
      <protection hidden="1"/>
    </xf>
    <xf numFmtId="0" fontId="0" fillId="0" borderId="116" xfId="0" applyBorder="1" applyProtection="1">
      <protection hidden="1"/>
    </xf>
    <xf numFmtId="44" fontId="0" fillId="0" borderId="117" xfId="0" applyNumberFormat="1" applyBorder="1" applyProtection="1">
      <protection hidden="1"/>
    </xf>
    <xf numFmtId="0" fontId="4" fillId="0" borderId="109" xfId="0" applyFont="1" applyBorder="1" applyProtection="1">
      <protection hidden="1"/>
    </xf>
    <xf numFmtId="44" fontId="0" fillId="0" borderId="111" xfId="0" applyNumberFormat="1" applyBorder="1" applyProtection="1">
      <protection hidden="1"/>
    </xf>
    <xf numFmtId="0" fontId="37" fillId="0" borderId="0" xfId="7" applyFont="1" applyFill="1" applyBorder="1" applyProtection="1">
      <protection hidden="1"/>
    </xf>
    <xf numFmtId="0" fontId="30" fillId="3" borderId="75" xfId="7" applyFont="1" applyFill="1" applyBorder="1" applyAlignment="1" applyProtection="1">
      <alignment horizontal="center" vertical="center" wrapText="1"/>
      <protection hidden="1"/>
    </xf>
    <xf numFmtId="14" fontId="30" fillId="3" borderId="76" xfId="7" applyNumberFormat="1" applyFont="1" applyFill="1" applyBorder="1" applyAlignment="1" applyProtection="1">
      <alignment horizontal="center" vertical="center" wrapText="1"/>
      <protection hidden="1"/>
    </xf>
    <xf numFmtId="4" fontId="30" fillId="3" borderId="76" xfId="7" applyNumberFormat="1" applyFont="1" applyFill="1" applyBorder="1" applyAlignment="1" applyProtection="1">
      <alignment horizontal="center" vertical="center" wrapText="1"/>
      <protection hidden="1"/>
    </xf>
    <xf numFmtId="0" fontId="30" fillId="3" borderId="76" xfId="7" applyFont="1" applyFill="1" applyBorder="1" applyAlignment="1" applyProtection="1">
      <alignment horizontal="center" vertical="center" wrapText="1"/>
      <protection hidden="1"/>
    </xf>
    <xf numFmtId="4" fontId="30" fillId="3" borderId="77" xfId="7" applyNumberFormat="1" applyFont="1" applyFill="1" applyBorder="1" applyAlignment="1" applyProtection="1">
      <alignment horizontal="center" vertical="center" wrapText="1"/>
      <protection hidden="1"/>
    </xf>
    <xf numFmtId="0" fontId="31" fillId="0" borderId="0" xfId="7" quotePrefix="1" applyFont="1" applyFill="1" applyBorder="1" applyProtection="1">
      <protection hidden="1"/>
    </xf>
    <xf numFmtId="14" fontId="0" fillId="0" borderId="0" xfId="0" applyNumberFormat="1" applyProtection="1">
      <protection hidden="1"/>
    </xf>
    <xf numFmtId="14" fontId="0" fillId="0" borderId="0" xfId="0" quotePrefix="1" applyNumberFormat="1" applyProtection="1">
      <protection hidden="1"/>
    </xf>
    <xf numFmtId="167" fontId="0" fillId="4" borderId="106" xfId="0" applyNumberFormat="1" applyFill="1" applyBorder="1" applyProtection="1">
      <protection locked="0"/>
    </xf>
    <xf numFmtId="10" fontId="0" fillId="4" borderId="108" xfId="2" applyNumberFormat="1" applyFont="1" applyFill="1" applyBorder="1" applyProtection="1">
      <protection locked="0"/>
    </xf>
    <xf numFmtId="0" fontId="0" fillId="4" borderId="108" xfId="0" applyFill="1" applyBorder="1" applyProtection="1">
      <protection locked="0"/>
    </xf>
    <xf numFmtId="14" fontId="0" fillId="4" borderId="108" xfId="0" applyNumberFormat="1" applyFill="1" applyBorder="1" applyProtection="1">
      <protection locked="0"/>
    </xf>
    <xf numFmtId="0" fontId="8" fillId="0" borderId="0" xfId="0" applyFont="1" applyProtection="1">
      <protection hidden="1"/>
    </xf>
    <xf numFmtId="0" fontId="18" fillId="0" borderId="0" xfId="0" applyFont="1" applyProtection="1">
      <protection hidden="1"/>
    </xf>
    <xf numFmtId="44" fontId="0" fillId="0" borderId="0" xfId="1" applyFont="1" applyFill="1" applyBorder="1" applyProtection="1">
      <protection hidden="1"/>
    </xf>
    <xf numFmtId="0" fontId="40" fillId="0" borderId="0" xfId="0" applyFont="1" applyProtection="1">
      <protection hidden="1"/>
    </xf>
    <xf numFmtId="171" fontId="0" fillId="0" borderId="0" xfId="2" applyNumberFormat="1" applyFont="1" applyProtection="1">
      <protection hidden="1"/>
    </xf>
    <xf numFmtId="44" fontId="0" fillId="0" borderId="0" xfId="1" applyFont="1" applyProtection="1">
      <protection hidden="1"/>
    </xf>
    <xf numFmtId="9" fontId="0" fillId="0" borderId="0" xfId="0" applyNumberFormat="1" applyProtection="1">
      <protection hidden="1"/>
    </xf>
    <xf numFmtId="0" fontId="19" fillId="0" borderId="0" xfId="0" applyFont="1" applyProtection="1">
      <protection hidden="1"/>
    </xf>
    <xf numFmtId="0" fontId="6" fillId="0" borderId="88" xfId="0" applyFont="1" applyBorder="1" applyProtection="1">
      <protection hidden="1"/>
    </xf>
    <xf numFmtId="0" fontId="0" fillId="0" borderId="93" xfId="0" applyBorder="1" applyProtection="1">
      <protection hidden="1"/>
    </xf>
    <xf numFmtId="0" fontId="0" fillId="0" borderId="50" xfId="0" applyBorder="1" applyProtection="1">
      <protection hidden="1"/>
    </xf>
    <xf numFmtId="0" fontId="0" fillId="0" borderId="94" xfId="0" applyBorder="1" applyProtection="1">
      <protection hidden="1"/>
    </xf>
    <xf numFmtId="0" fontId="39" fillId="0" borderId="0" xfId="0" applyFont="1" applyProtection="1">
      <protection hidden="1"/>
    </xf>
    <xf numFmtId="0" fontId="0" fillId="0" borderId="121" xfId="0" applyBorder="1" applyProtection="1">
      <protection hidden="1"/>
    </xf>
    <xf numFmtId="44" fontId="0" fillId="7" borderId="125" xfId="1" applyFont="1" applyFill="1" applyBorder="1" applyProtection="1">
      <protection hidden="1"/>
    </xf>
    <xf numFmtId="44" fontId="0" fillId="7" borderId="125" xfId="0" applyNumberFormat="1" applyFill="1" applyBorder="1" applyProtection="1">
      <protection hidden="1"/>
    </xf>
    <xf numFmtId="44" fontId="0" fillId="0" borderId="124" xfId="1" applyFont="1" applyBorder="1" applyProtection="1">
      <protection hidden="1"/>
    </xf>
    <xf numFmtId="0" fontId="0" fillId="0" borderId="123" xfId="0" applyBorder="1" applyProtection="1">
      <protection hidden="1"/>
    </xf>
    <xf numFmtId="44" fontId="0" fillId="0" borderId="94" xfId="1" applyFont="1" applyBorder="1" applyProtection="1">
      <protection hidden="1"/>
    </xf>
    <xf numFmtId="0" fontId="0" fillId="0" borderId="122" xfId="0" applyBorder="1" applyProtection="1">
      <protection hidden="1"/>
    </xf>
    <xf numFmtId="44" fontId="0" fillId="0" borderId="126" xfId="1" applyFont="1" applyBorder="1" applyProtection="1">
      <protection hidden="1"/>
    </xf>
    <xf numFmtId="44" fontId="0" fillId="0" borderId="126" xfId="0" applyNumberFormat="1" applyBorder="1" applyProtection="1">
      <protection hidden="1"/>
    </xf>
    <xf numFmtId="0" fontId="0" fillId="0" borderId="125" xfId="0" applyBorder="1" applyProtection="1">
      <protection hidden="1"/>
    </xf>
    <xf numFmtId="9" fontId="0" fillId="0" borderId="125" xfId="2" applyFont="1" applyBorder="1" applyProtection="1">
      <protection hidden="1"/>
    </xf>
    <xf numFmtId="9" fontId="0" fillId="0" borderId="125" xfId="0" applyNumberFormat="1" applyBorder="1" applyProtection="1">
      <protection hidden="1"/>
    </xf>
    <xf numFmtId="0" fontId="6" fillId="0" borderId="123" xfId="0" applyFont="1" applyBorder="1" applyProtection="1">
      <protection hidden="1"/>
    </xf>
    <xf numFmtId="44" fontId="0" fillId="5" borderId="124" xfId="1" applyFont="1" applyFill="1" applyBorder="1" applyProtection="1">
      <protection hidden="1"/>
    </xf>
    <xf numFmtId="44" fontId="0" fillId="5" borderId="124" xfId="0" applyNumberFormat="1" applyFill="1" applyBorder="1" applyProtection="1">
      <protection hidden="1"/>
    </xf>
    <xf numFmtId="0" fontId="0" fillId="0" borderId="118" xfId="0" applyBorder="1" applyProtection="1">
      <protection hidden="1"/>
    </xf>
    <xf numFmtId="0" fontId="0" fillId="0" borderId="88" xfId="0" applyBorder="1" applyProtection="1">
      <protection hidden="1"/>
    </xf>
    <xf numFmtId="0" fontId="0" fillId="0" borderId="119" xfId="0" applyBorder="1" applyProtection="1">
      <protection hidden="1"/>
    </xf>
    <xf numFmtId="44" fontId="0" fillId="0" borderId="125" xfId="0" applyNumberFormat="1" applyBorder="1" applyProtection="1">
      <protection hidden="1"/>
    </xf>
    <xf numFmtId="0" fontId="0" fillId="0" borderId="127" xfId="0" applyBorder="1" applyProtection="1">
      <protection hidden="1"/>
    </xf>
    <xf numFmtId="9" fontId="0" fillId="0" borderId="124" xfId="2" applyFont="1" applyBorder="1" applyProtection="1">
      <protection hidden="1"/>
    </xf>
    <xf numFmtId="0" fontId="6" fillId="0" borderId="122" xfId="0" applyFont="1" applyBorder="1" applyProtection="1">
      <protection hidden="1"/>
    </xf>
    <xf numFmtId="0" fontId="0" fillId="0" borderId="128" xfId="0" applyBorder="1" applyProtection="1">
      <protection hidden="1"/>
    </xf>
    <xf numFmtId="44" fontId="0" fillId="5" borderId="126" xfId="0" applyNumberFormat="1" applyFill="1" applyBorder="1" applyProtection="1">
      <protection hidden="1"/>
    </xf>
    <xf numFmtId="0" fontId="0" fillId="0" borderId="124" xfId="0" applyBorder="1" applyProtection="1">
      <protection hidden="1"/>
    </xf>
    <xf numFmtId="44" fontId="0" fillId="0" borderId="124" xfId="0" applyNumberFormat="1" applyBorder="1" applyProtection="1">
      <protection hidden="1"/>
    </xf>
    <xf numFmtId="171" fontId="0" fillId="0" borderId="126" xfId="2" applyNumberFormat="1" applyFont="1" applyBorder="1" applyProtection="1">
      <protection hidden="1"/>
    </xf>
    <xf numFmtId="0" fontId="6" fillId="0" borderId="130" xfId="0" applyFont="1" applyBorder="1" applyProtection="1">
      <protection hidden="1"/>
    </xf>
    <xf numFmtId="0" fontId="0" fillId="0" borderId="131" xfId="0" applyBorder="1" applyProtection="1">
      <protection hidden="1"/>
    </xf>
    <xf numFmtId="0" fontId="0" fillId="0" borderId="130" xfId="0" applyBorder="1" applyProtection="1">
      <protection hidden="1"/>
    </xf>
    <xf numFmtId="44" fontId="0" fillId="5" borderId="131" xfId="0" applyNumberFormat="1" applyFill="1" applyBorder="1" applyProtection="1">
      <protection hidden="1"/>
    </xf>
    <xf numFmtId="9" fontId="0" fillId="4" borderId="0" xfId="2" applyFont="1" applyFill="1" applyProtection="1">
      <protection locked="0"/>
    </xf>
    <xf numFmtId="0" fontId="7" fillId="0" borderId="78" xfId="0" applyFont="1" applyBorder="1" applyProtection="1">
      <protection hidden="1"/>
    </xf>
    <xf numFmtId="0" fontId="6" fillId="0" borderId="78" xfId="0" applyFont="1" applyBorder="1" applyAlignment="1" applyProtection="1">
      <alignment horizontal="center"/>
      <protection hidden="1"/>
    </xf>
    <xf numFmtId="2" fontId="6" fillId="0" borderId="78" xfId="0" applyNumberFormat="1" applyFont="1" applyBorder="1" applyAlignment="1" applyProtection="1">
      <alignment horizontal="center"/>
      <protection hidden="1"/>
    </xf>
    <xf numFmtId="0" fontId="0" fillId="0" borderId="79" xfId="0" applyBorder="1" applyProtection="1">
      <protection hidden="1"/>
    </xf>
    <xf numFmtId="44" fontId="0" fillId="0" borderId="79" xfId="1" applyFont="1" applyBorder="1" applyProtection="1">
      <protection hidden="1"/>
    </xf>
    <xf numFmtId="170" fontId="0" fillId="0" borderId="79" xfId="0" applyNumberFormat="1" applyBorder="1" applyProtection="1">
      <protection hidden="1"/>
    </xf>
    <xf numFmtId="0" fontId="0" fillId="0" borderId="80" xfId="0" applyBorder="1" applyProtection="1">
      <protection hidden="1"/>
    </xf>
    <xf numFmtId="44" fontId="0" fillId="0" borderId="80" xfId="1" applyFont="1" applyBorder="1" applyProtection="1">
      <protection hidden="1"/>
    </xf>
    <xf numFmtId="2" fontId="0" fillId="0" borderId="80" xfId="0" applyNumberFormat="1" applyBorder="1" applyProtection="1">
      <protection hidden="1"/>
    </xf>
    <xf numFmtId="0" fontId="0" fillId="0" borderId="81" xfId="0" applyBorder="1" applyProtection="1">
      <protection hidden="1"/>
    </xf>
    <xf numFmtId="44" fontId="0" fillId="0" borderId="81" xfId="1" applyFont="1" applyBorder="1" applyProtection="1">
      <protection hidden="1"/>
    </xf>
    <xf numFmtId="2" fontId="0" fillId="0" borderId="81" xfId="0" applyNumberFormat="1" applyBorder="1" applyProtection="1">
      <protection hidden="1"/>
    </xf>
    <xf numFmtId="0" fontId="0" fillId="0" borderId="82" xfId="0" applyBorder="1" applyProtection="1">
      <protection hidden="1"/>
    </xf>
    <xf numFmtId="0" fontId="6" fillId="0" borderId="89" xfId="0" applyFont="1" applyBorder="1" applyProtection="1">
      <protection hidden="1"/>
    </xf>
    <xf numFmtId="44" fontId="6" fillId="7" borderId="89" xfId="1" applyFont="1" applyFill="1" applyBorder="1" applyProtection="1">
      <protection hidden="1"/>
    </xf>
    <xf numFmtId="170" fontId="6" fillId="7" borderId="89" xfId="0" applyNumberFormat="1" applyFont="1" applyFill="1" applyBorder="1" applyProtection="1">
      <protection hidden="1"/>
    </xf>
    <xf numFmtId="0" fontId="0" fillId="0" borderId="91" xfId="0" applyBorder="1" applyProtection="1">
      <protection hidden="1"/>
    </xf>
    <xf numFmtId="44" fontId="0" fillId="0" borderId="91" xfId="1" applyFont="1" applyBorder="1" applyProtection="1">
      <protection hidden="1"/>
    </xf>
    <xf numFmtId="2" fontId="0" fillId="0" borderId="91" xfId="0" applyNumberFormat="1" applyBorder="1" applyProtection="1">
      <protection hidden="1"/>
    </xf>
    <xf numFmtId="0" fontId="7" fillId="0" borderId="84" xfId="0" applyFont="1" applyBorder="1" applyProtection="1">
      <protection hidden="1"/>
    </xf>
    <xf numFmtId="175" fontId="0" fillId="0" borderId="84" xfId="1" applyNumberFormat="1" applyFont="1" applyBorder="1" applyProtection="1">
      <protection hidden="1"/>
    </xf>
    <xf numFmtId="2" fontId="0" fillId="0" borderId="84" xfId="0" applyNumberFormat="1" applyBorder="1" applyProtection="1">
      <protection hidden="1"/>
    </xf>
    <xf numFmtId="0" fontId="6" fillId="0" borderId="90" xfId="0" applyFont="1" applyBorder="1" applyProtection="1">
      <protection hidden="1"/>
    </xf>
    <xf numFmtId="175" fontId="0" fillId="0" borderId="90" xfId="1" applyNumberFormat="1" applyFont="1" applyBorder="1" applyProtection="1">
      <protection hidden="1"/>
    </xf>
    <xf numFmtId="2" fontId="0" fillId="0" borderId="90" xfId="0" applyNumberFormat="1" applyBorder="1" applyProtection="1">
      <protection hidden="1"/>
    </xf>
    <xf numFmtId="0" fontId="0" fillId="0" borderId="79" xfId="0" applyFont="1" applyBorder="1" applyProtection="1">
      <protection hidden="1"/>
    </xf>
    <xf numFmtId="0" fontId="0" fillId="0" borderId="80" xfId="0" applyFont="1" applyBorder="1" applyProtection="1">
      <protection hidden="1"/>
    </xf>
    <xf numFmtId="0" fontId="6" fillId="0" borderId="84" xfId="0" applyFont="1" applyBorder="1" applyProtection="1">
      <protection hidden="1"/>
    </xf>
    <xf numFmtId="0" fontId="6" fillId="0" borderId="78" xfId="0" applyFont="1" applyBorder="1" applyProtection="1">
      <protection hidden="1"/>
    </xf>
    <xf numFmtId="0" fontId="6" fillId="0" borderId="79" xfId="0" applyFont="1" applyBorder="1" applyProtection="1">
      <protection hidden="1"/>
    </xf>
    <xf numFmtId="0" fontId="6" fillId="0" borderId="80" xfId="0" applyFont="1" applyBorder="1" applyProtection="1">
      <protection hidden="1"/>
    </xf>
    <xf numFmtId="0" fontId="0" fillId="0" borderId="83" xfId="0" applyBorder="1" applyProtection="1">
      <protection hidden="1"/>
    </xf>
    <xf numFmtId="2" fontId="0" fillId="0" borderId="83" xfId="0" applyNumberFormat="1" applyBorder="1" applyProtection="1">
      <protection hidden="1"/>
    </xf>
    <xf numFmtId="0" fontId="7" fillId="0" borderId="73" xfId="0" applyFont="1" applyBorder="1" applyProtection="1">
      <protection hidden="1"/>
    </xf>
    <xf numFmtId="8" fontId="7" fillId="5" borderId="73" xfId="0" applyNumberFormat="1" applyFont="1" applyFill="1" applyBorder="1" applyProtection="1">
      <protection hidden="1"/>
    </xf>
    <xf numFmtId="0" fontId="0" fillId="0" borderId="83" xfId="0" applyFont="1" applyBorder="1" applyAlignment="1" applyProtection="1">
      <alignment wrapText="1"/>
      <protection hidden="1"/>
    </xf>
    <xf numFmtId="0" fontId="7" fillId="0" borderId="85" xfId="0" applyFont="1" applyBorder="1" applyProtection="1">
      <protection hidden="1"/>
    </xf>
    <xf numFmtId="8" fontId="7" fillId="5" borderId="85" xfId="0" applyNumberFormat="1" applyFont="1" applyFill="1" applyBorder="1" applyProtection="1">
      <protection hidden="1"/>
    </xf>
    <xf numFmtId="0" fontId="7" fillId="0" borderId="92" xfId="0" applyFont="1" applyBorder="1" applyProtection="1">
      <protection hidden="1"/>
    </xf>
    <xf numFmtId="172" fontId="7" fillId="0" borderId="92" xfId="1" applyNumberFormat="1" applyFont="1" applyBorder="1" applyProtection="1">
      <protection hidden="1"/>
    </xf>
    <xf numFmtId="2" fontId="7" fillId="0" borderId="92" xfId="0" applyNumberFormat="1" applyFont="1" applyBorder="1" applyProtection="1">
      <protection hidden="1"/>
    </xf>
    <xf numFmtId="0" fontId="7" fillId="0" borderId="0" xfId="0" applyFont="1" applyFill="1" applyBorder="1" applyProtection="1">
      <protection hidden="1"/>
    </xf>
    <xf numFmtId="2" fontId="0" fillId="0" borderId="0" xfId="0" applyNumberFormat="1" applyFill="1" applyAlignment="1" applyProtection="1">
      <alignment horizontal="right"/>
      <protection hidden="1"/>
    </xf>
    <xf numFmtId="44" fontId="0" fillId="0" borderId="0" xfId="1" applyFont="1" applyFill="1" applyProtection="1">
      <protection hidden="1"/>
    </xf>
    <xf numFmtId="173" fontId="0" fillId="0" borderId="0" xfId="4" applyNumberFormat="1" applyFont="1" applyFill="1" applyProtection="1">
      <protection hidden="1"/>
    </xf>
    <xf numFmtId="0" fontId="6" fillId="0" borderId="95" xfId="0" applyFont="1" applyBorder="1" applyProtection="1">
      <protection hidden="1"/>
    </xf>
    <xf numFmtId="0" fontId="0" fillId="0" borderId="96" xfId="0" applyBorder="1" applyProtection="1">
      <protection hidden="1"/>
    </xf>
    <xf numFmtId="2" fontId="0" fillId="0" borderId="97" xfId="0" applyNumberFormat="1" applyBorder="1" applyProtection="1">
      <protection hidden="1"/>
    </xf>
    <xf numFmtId="171" fontId="0" fillId="0" borderId="0" xfId="2" applyNumberFormat="1" applyFont="1" applyFill="1" applyProtection="1">
      <protection hidden="1"/>
    </xf>
    <xf numFmtId="4" fontId="0" fillId="0" borderId="0" xfId="1" applyNumberFormat="1" applyFont="1" applyFill="1" applyProtection="1">
      <protection hidden="1"/>
    </xf>
    <xf numFmtId="0" fontId="14" fillId="0" borderId="0" xfId="0" applyFont="1" applyFill="1" applyProtection="1">
      <protection hidden="1"/>
    </xf>
    <xf numFmtId="0" fontId="0" fillId="0" borderId="50" xfId="0" applyFont="1" applyFill="1" applyBorder="1" applyProtection="1">
      <protection hidden="1"/>
    </xf>
    <xf numFmtId="1" fontId="0" fillId="0" borderId="7" xfId="0" applyNumberFormat="1" applyBorder="1" applyAlignment="1" applyProtection="1">
      <alignment horizontal="center"/>
      <protection hidden="1"/>
    </xf>
    <xf numFmtId="1" fontId="0" fillId="0" borderId="94" xfId="0" applyNumberFormat="1" applyBorder="1" applyAlignment="1" applyProtection="1">
      <alignment horizontal="center"/>
      <protection hidden="1"/>
    </xf>
    <xf numFmtId="0" fontId="6" fillId="0" borderId="86" xfId="0" applyFont="1" applyBorder="1" applyProtection="1">
      <protection hidden="1"/>
    </xf>
    <xf numFmtId="170" fontId="6" fillId="7" borderId="99" xfId="0" applyNumberFormat="1" applyFont="1" applyFill="1" applyBorder="1" applyAlignment="1" applyProtection="1">
      <alignment horizontal="center"/>
      <protection hidden="1"/>
    </xf>
    <xf numFmtId="170" fontId="6" fillId="7" borderId="87" xfId="0" applyNumberFormat="1" applyFont="1" applyFill="1" applyBorder="1" applyAlignment="1" applyProtection="1">
      <alignment horizontal="center"/>
      <protection hidden="1"/>
    </xf>
    <xf numFmtId="0" fontId="35" fillId="0" borderId="95" xfId="0" applyFont="1" applyBorder="1" applyProtection="1">
      <protection hidden="1"/>
    </xf>
    <xf numFmtId="170" fontId="0" fillId="0" borderId="98" xfId="0" applyNumberFormat="1" applyFill="1" applyBorder="1" applyAlignment="1" applyProtection="1">
      <alignment horizontal="center"/>
      <protection hidden="1"/>
    </xf>
    <xf numFmtId="170" fontId="0" fillId="0" borderId="94" xfId="0" applyNumberFormat="1" applyFill="1" applyBorder="1" applyAlignment="1" applyProtection="1">
      <alignment horizontal="center"/>
      <protection hidden="1"/>
    </xf>
    <xf numFmtId="170" fontId="0" fillId="7" borderId="120" xfId="0" applyNumberFormat="1" applyFill="1" applyBorder="1" applyAlignment="1" applyProtection="1">
      <alignment horizontal="center"/>
      <protection hidden="1"/>
    </xf>
    <xf numFmtId="170" fontId="0" fillId="7" borderId="119" xfId="0" applyNumberFormat="1" applyFill="1" applyBorder="1" applyAlignment="1" applyProtection="1">
      <alignment horizontal="center"/>
      <protection hidden="1"/>
    </xf>
    <xf numFmtId="0" fontId="8" fillId="0" borderId="129" xfId="0" applyFont="1" applyBorder="1" applyAlignment="1" applyProtection="1">
      <alignment horizontal="center" vertical="center"/>
      <protection hidden="1"/>
    </xf>
    <xf numFmtId="3" fontId="33" fillId="8" borderId="129" xfId="3" applyNumberFormat="1" applyFont="1" applyFill="1" applyBorder="1" applyAlignment="1" applyProtection="1">
      <alignment horizontal="center" vertical="center"/>
      <protection hidden="1"/>
    </xf>
    <xf numFmtId="2" fontId="0" fillId="0" borderId="0" xfId="0" applyNumberFormat="1" applyBorder="1" applyProtection="1">
      <protection hidden="1"/>
    </xf>
    <xf numFmtId="44" fontId="0" fillId="4" borderId="82" xfId="1" applyFont="1" applyFill="1" applyBorder="1" applyProtection="1">
      <protection locked="0"/>
    </xf>
    <xf numFmtId="44" fontId="0" fillId="4" borderId="79" xfId="1" applyFont="1" applyFill="1" applyBorder="1" applyProtection="1">
      <protection locked="0"/>
    </xf>
    <xf numFmtId="44" fontId="0" fillId="4" borderId="80" xfId="1" applyFont="1" applyFill="1" applyBorder="1" applyProtection="1">
      <protection locked="0"/>
    </xf>
    <xf numFmtId="2" fontId="0" fillId="4" borderId="82" xfId="0" applyNumberFormat="1" applyFill="1" applyBorder="1" applyProtection="1">
      <protection locked="0"/>
    </xf>
    <xf numFmtId="2" fontId="0" fillId="4" borderId="79" xfId="0" applyNumberFormat="1" applyFill="1" applyBorder="1" applyProtection="1">
      <protection locked="0"/>
    </xf>
    <xf numFmtId="2" fontId="0" fillId="4" borderId="80" xfId="0" applyNumberFormat="1" applyFill="1" applyBorder="1" applyProtection="1">
      <protection locked="0"/>
    </xf>
    <xf numFmtId="170" fontId="0" fillId="4" borderId="98" xfId="0" applyNumberFormat="1" applyFill="1" applyBorder="1" applyAlignment="1" applyProtection="1">
      <alignment horizontal="center"/>
      <protection locked="0"/>
    </xf>
    <xf numFmtId="170" fontId="0" fillId="4" borderId="94" xfId="0" applyNumberFormat="1" applyFill="1" applyBorder="1" applyAlignment="1" applyProtection="1">
      <alignment horizontal="center"/>
      <protection locked="0"/>
    </xf>
    <xf numFmtId="171" fontId="0" fillId="4" borderId="7" xfId="2" applyNumberFormat="1" applyFont="1" applyFill="1" applyBorder="1" applyAlignment="1" applyProtection="1">
      <alignment horizontal="center"/>
      <protection locked="0"/>
    </xf>
    <xf numFmtId="171" fontId="0" fillId="4" borderId="94" xfId="2" applyNumberFormat="1" applyFont="1" applyFill="1" applyBorder="1" applyAlignment="1" applyProtection="1">
      <alignment horizontal="center"/>
      <protection locked="0"/>
    </xf>
    <xf numFmtId="0" fontId="2" fillId="4" borderId="1" xfId="0" applyFont="1" applyFill="1" applyBorder="1" applyAlignment="1" applyProtection="1">
      <alignment vertical="top"/>
      <protection locked="0"/>
    </xf>
    <xf numFmtId="0" fontId="6" fillId="0" borderId="132" xfId="0" applyFont="1" applyBorder="1" applyProtection="1">
      <protection hidden="1"/>
    </xf>
    <xf numFmtId="0" fontId="6" fillId="0" borderId="5" xfId="0" applyFont="1" applyBorder="1" applyProtection="1">
      <protection hidden="1"/>
    </xf>
    <xf numFmtId="44" fontId="0" fillId="4" borderId="133" xfId="1" applyFont="1" applyFill="1" applyBorder="1" applyProtection="1">
      <protection locked="0"/>
    </xf>
    <xf numFmtId="44" fontId="0" fillId="4" borderId="42" xfId="1" applyFont="1" applyFill="1" applyBorder="1" applyProtection="1">
      <protection locked="0"/>
    </xf>
    <xf numFmtId="44" fontId="0" fillId="4" borderId="45" xfId="1" applyFont="1" applyFill="1" applyBorder="1" applyProtection="1">
      <protection locked="0"/>
    </xf>
    <xf numFmtId="44" fontId="0" fillId="5" borderId="87" xfId="1" applyFont="1" applyFill="1" applyBorder="1" applyProtection="1">
      <protection hidden="1"/>
    </xf>
    <xf numFmtId="44" fontId="6" fillId="5" borderId="6" xfId="1" applyFont="1" applyFill="1" applyBorder="1" applyProtection="1">
      <protection hidden="1"/>
    </xf>
    <xf numFmtId="44" fontId="0" fillId="0" borderId="108" xfId="1" quotePrefix="1" applyFont="1" applyBorder="1" applyProtection="1">
      <protection hidden="1"/>
    </xf>
    <xf numFmtId="44" fontId="9" fillId="4" borderId="1" xfId="1" applyFont="1" applyFill="1" applyBorder="1" applyAlignment="1" applyProtection="1">
      <alignment horizontal="right"/>
      <protection locked="0"/>
    </xf>
    <xf numFmtId="0" fontId="7" fillId="0" borderId="0" xfId="0" applyFont="1" applyBorder="1" applyProtection="1">
      <protection hidden="1"/>
    </xf>
    <xf numFmtId="172" fontId="7" fillId="0" borderId="0" xfId="1" applyNumberFormat="1" applyFont="1" applyBorder="1" applyProtection="1">
      <protection hidden="1"/>
    </xf>
    <xf numFmtId="2" fontId="7" fillId="0" borderId="0" xfId="0" applyNumberFormat="1" applyFont="1" applyBorder="1" applyProtection="1">
      <protection hidden="1"/>
    </xf>
    <xf numFmtId="0" fontId="18" fillId="0" borderId="0" xfId="0" applyFont="1" applyBorder="1" applyProtection="1">
      <protection hidden="1"/>
    </xf>
    <xf numFmtId="172" fontId="18" fillId="0" borderId="0" xfId="1" applyNumberFormat="1" applyFont="1" applyBorder="1" applyProtection="1">
      <protection hidden="1"/>
    </xf>
    <xf numFmtId="2" fontId="18" fillId="0" borderId="0" xfId="0" applyNumberFormat="1" applyFont="1" applyBorder="1" applyProtection="1">
      <protection hidden="1"/>
    </xf>
    <xf numFmtId="0" fontId="0" fillId="0" borderId="0" xfId="0" applyFont="1" applyProtection="1">
      <protection hidden="1"/>
    </xf>
    <xf numFmtId="2" fontId="0" fillId="0" borderId="0" xfId="0" applyNumberFormat="1" applyFont="1" applyProtection="1">
      <protection hidden="1"/>
    </xf>
    <xf numFmtId="0" fontId="0" fillId="0" borderId="134" xfId="0" applyBorder="1" applyProtection="1">
      <protection hidden="1"/>
    </xf>
    <xf numFmtId="0" fontId="0" fillId="0" borderId="135" xfId="0" applyBorder="1" applyProtection="1">
      <protection hidden="1"/>
    </xf>
    <xf numFmtId="0" fontId="0" fillId="0" borderId="6" xfId="0" applyBorder="1" applyProtection="1">
      <protection hidden="1"/>
    </xf>
    <xf numFmtId="0" fontId="0" fillId="0" borderId="102" xfId="0" applyBorder="1" applyProtection="1">
      <protection hidden="1"/>
    </xf>
    <xf numFmtId="0" fontId="0" fillId="0" borderId="2" xfId="0" applyBorder="1" applyAlignment="1" applyProtection="1">
      <alignment horizontal="right"/>
      <protection hidden="1"/>
    </xf>
    <xf numFmtId="0" fontId="0" fillId="0" borderId="136" xfId="0" applyBorder="1" applyAlignment="1" applyProtection="1">
      <alignment horizontal="right"/>
      <protection hidden="1"/>
    </xf>
    <xf numFmtId="0" fontId="0" fillId="0" borderId="5" xfId="0" applyBorder="1" applyAlignment="1" applyProtection="1">
      <alignment horizontal="right"/>
      <protection hidden="1"/>
    </xf>
    <xf numFmtId="0" fontId="0" fillId="0" borderId="102" xfId="0" applyBorder="1" applyAlignment="1" applyProtection="1">
      <alignment horizontal="right"/>
      <protection hidden="1"/>
    </xf>
    <xf numFmtId="8" fontId="0" fillId="0" borderId="7" xfId="0" applyNumberFormat="1" applyFill="1" applyBorder="1" applyAlignment="1" applyProtection="1">
      <alignment horizontal="center"/>
      <protection hidden="1"/>
    </xf>
    <xf numFmtId="8" fontId="0" fillId="0" borderId="94" xfId="0" applyNumberFormat="1" applyFill="1" applyBorder="1" applyAlignment="1" applyProtection="1">
      <alignment horizontal="center"/>
      <protection hidden="1"/>
    </xf>
    <xf numFmtId="0" fontId="41" fillId="0" borderId="0" xfId="0" applyFont="1" applyProtection="1">
      <protection hidden="1"/>
    </xf>
    <xf numFmtId="8" fontId="39" fillId="0" borderId="79" xfId="1" applyNumberFormat="1" applyFont="1" applyBorder="1" applyProtection="1">
      <protection hidden="1"/>
    </xf>
    <xf numFmtId="8" fontId="39" fillId="0" borderId="79" xfId="0" applyNumberFormat="1" applyFont="1" applyBorder="1" applyProtection="1">
      <protection hidden="1"/>
    </xf>
    <xf numFmtId="8" fontId="39" fillId="0" borderId="80" xfId="1" applyNumberFormat="1" applyFont="1" applyBorder="1" applyProtection="1">
      <protection hidden="1"/>
    </xf>
    <xf numFmtId="8" fontId="39" fillId="0" borderId="80" xfId="0" applyNumberFormat="1" applyFont="1" applyBorder="1" applyProtection="1">
      <protection hidden="1"/>
    </xf>
    <xf numFmtId="44" fontId="39" fillId="0" borderId="81" xfId="1" applyNumberFormat="1" applyFont="1" applyBorder="1" applyProtection="1">
      <protection hidden="1"/>
    </xf>
    <xf numFmtId="8" fontId="39" fillId="0" borderId="84" xfId="1" applyNumberFormat="1" applyFont="1" applyBorder="1" applyProtection="1">
      <protection hidden="1"/>
    </xf>
    <xf numFmtId="8" fontId="39" fillId="0" borderId="84" xfId="0" applyNumberFormat="1" applyFont="1" applyBorder="1" applyProtection="1">
      <protection hidden="1"/>
    </xf>
    <xf numFmtId="40" fontId="39" fillId="4" borderId="79" xfId="1" applyNumberFormat="1" applyFont="1" applyFill="1" applyBorder="1" applyProtection="1">
      <protection locked="0"/>
    </xf>
    <xf numFmtId="8" fontId="39" fillId="4" borderId="79" xfId="0" applyNumberFormat="1" applyFont="1" applyFill="1" applyBorder="1" applyProtection="1">
      <protection locked="0"/>
    </xf>
    <xf numFmtId="8" fontId="39" fillId="4" borderId="80" xfId="1" applyNumberFormat="1" applyFont="1" applyFill="1" applyBorder="1" applyProtection="1">
      <protection locked="0"/>
    </xf>
    <xf numFmtId="8" fontId="39" fillId="4" borderId="80" xfId="0" applyNumberFormat="1" applyFont="1" applyFill="1" applyBorder="1" applyProtection="1">
      <protection locked="0"/>
    </xf>
    <xf numFmtId="8" fontId="39" fillId="0" borderId="81" xfId="1" applyNumberFormat="1" applyFont="1" applyBorder="1" applyProtection="1">
      <protection hidden="1"/>
    </xf>
    <xf numFmtId="8" fontId="39" fillId="0" borderId="81" xfId="0" applyNumberFormat="1" applyFont="1" applyBorder="1" applyProtection="1">
      <protection hidden="1"/>
    </xf>
    <xf numFmtId="8" fontId="39" fillId="0" borderId="78" xfId="1" applyNumberFormat="1" applyFont="1" applyBorder="1" applyProtection="1">
      <protection hidden="1"/>
    </xf>
    <xf numFmtId="44" fontId="39" fillId="0" borderId="79" xfId="1" applyNumberFormat="1" applyFont="1" applyBorder="1" applyProtection="1">
      <protection hidden="1"/>
    </xf>
    <xf numFmtId="44" fontId="39" fillId="0" borderId="79" xfId="0" applyNumberFormat="1" applyFont="1" applyBorder="1" applyProtection="1">
      <protection hidden="1"/>
    </xf>
    <xf numFmtId="44" fontId="39" fillId="0" borderId="80" xfId="1" applyNumberFormat="1" applyFont="1" applyBorder="1" applyProtection="1">
      <protection hidden="1"/>
    </xf>
    <xf numFmtId="44" fontId="39" fillId="0" borderId="80" xfId="0" applyNumberFormat="1" applyFont="1" applyBorder="1" applyProtection="1">
      <protection hidden="1"/>
    </xf>
    <xf numFmtId="44" fontId="39" fillId="0" borderId="81" xfId="0" applyNumberFormat="1" applyFont="1" applyBorder="1" applyProtection="1">
      <protection hidden="1"/>
    </xf>
    <xf numFmtId="8" fontId="39" fillId="4" borderId="79" xfId="1" applyNumberFormat="1" applyFont="1" applyFill="1" applyBorder="1" applyProtection="1">
      <protection locked="0"/>
    </xf>
    <xf numFmtId="8" fontId="25" fillId="7" borderId="84" xfId="1" applyNumberFormat="1" applyFont="1" applyFill="1" applyBorder="1" applyProtection="1">
      <protection hidden="1"/>
    </xf>
    <xf numFmtId="8" fontId="25" fillId="7" borderId="84" xfId="0" applyNumberFormat="1" applyFont="1" applyFill="1" applyBorder="1" applyProtection="1">
      <protection hidden="1"/>
    </xf>
    <xf numFmtId="44" fontId="7" fillId="5" borderId="73" xfId="1" applyNumberFormat="1" applyFont="1" applyFill="1" applyBorder="1" applyProtection="1">
      <protection hidden="1"/>
    </xf>
    <xf numFmtId="44" fontId="42" fillId="0" borderId="83" xfId="1" applyNumberFormat="1" applyFont="1" applyBorder="1" applyAlignment="1" applyProtection="1">
      <alignment vertical="center"/>
      <protection hidden="1"/>
    </xf>
    <xf numFmtId="44" fontId="0" fillId="0" borderId="0" xfId="0" applyNumberFormat="1" applyProtection="1">
      <protection hidden="1"/>
    </xf>
    <xf numFmtId="44" fontId="7" fillId="5" borderId="85" xfId="1" applyNumberFormat="1" applyFont="1" applyFill="1" applyBorder="1" applyProtection="1">
      <protection hidden="1"/>
    </xf>
    <xf numFmtId="0" fontId="0" fillId="0" borderId="0" xfId="0" applyAlignment="1" applyProtection="1">
      <alignment wrapText="1"/>
      <protection hidden="1"/>
    </xf>
    <xf numFmtId="0" fontId="0" fillId="0" borderId="0" xfId="0" applyFill="1" applyBorder="1" applyAlignment="1" applyProtection="1">
      <protection hidden="1"/>
    </xf>
    <xf numFmtId="0" fontId="6" fillId="0" borderId="50" xfId="0" applyFont="1" applyFill="1" applyBorder="1" applyAlignment="1" applyProtection="1">
      <alignment horizontal="center"/>
      <protection hidden="1"/>
    </xf>
    <xf numFmtId="0" fontId="6" fillId="0" borderId="94" xfId="0" applyFont="1" applyFill="1" applyBorder="1" applyAlignment="1" applyProtection="1">
      <alignment horizontal="center"/>
      <protection hidden="1"/>
    </xf>
    <xf numFmtId="0" fontId="17" fillId="2" borderId="0" xfId="0" applyFont="1" applyFill="1" applyProtection="1">
      <protection hidden="1"/>
    </xf>
    <xf numFmtId="0" fontId="17" fillId="4" borderId="0" xfId="0" applyFont="1" applyFill="1" applyProtection="1">
      <protection hidden="1"/>
    </xf>
    <xf numFmtId="0" fontId="17" fillId="3" borderId="0" xfId="0" applyFont="1" applyFill="1" applyProtection="1">
      <protection hidden="1"/>
    </xf>
    <xf numFmtId="0" fontId="38" fillId="0" borderId="0" xfId="0" applyFont="1" applyProtection="1">
      <protection hidden="1"/>
    </xf>
    <xf numFmtId="0" fontId="26" fillId="0" borderId="0" xfId="5" applyProtection="1">
      <protection hidden="1"/>
    </xf>
    <xf numFmtId="17" fontId="0" fillId="0" borderId="0" xfId="0" applyNumberFormat="1" applyAlignment="1" applyProtection="1">
      <alignment horizontal="left"/>
      <protection hidden="1"/>
    </xf>
    <xf numFmtId="0" fontId="6" fillId="0" borderId="50" xfId="0" applyFont="1" applyBorder="1" applyAlignment="1" applyProtection="1">
      <alignment horizontal="left"/>
      <protection hidden="1"/>
    </xf>
    <xf numFmtId="0" fontId="0" fillId="0" borderId="50" xfId="0" applyBorder="1" applyAlignment="1" applyProtection="1">
      <alignment horizontal="left"/>
      <protection hidden="1"/>
    </xf>
    <xf numFmtId="44" fontId="3" fillId="0" borderId="0" xfId="1" applyFont="1" applyProtection="1">
      <protection hidden="1"/>
    </xf>
    <xf numFmtId="0" fontId="7" fillId="0" borderId="0" xfId="0" applyFont="1" applyFill="1" applyBorder="1" applyAlignment="1" applyProtection="1">
      <alignment horizontal="left" vertical="center"/>
      <protection hidden="1"/>
    </xf>
    <xf numFmtId="0" fontId="7" fillId="0" borderId="0" xfId="0" applyFont="1" applyFill="1" applyBorder="1" applyAlignment="1" applyProtection="1">
      <alignment horizontal="center" vertical="center"/>
      <protection hidden="1"/>
    </xf>
    <xf numFmtId="0" fontId="1" fillId="0" borderId="0" xfId="0" applyFont="1" applyAlignment="1" applyProtection="1">
      <alignment vertical="center" wrapText="1"/>
      <protection hidden="1"/>
    </xf>
    <xf numFmtId="0" fontId="1" fillId="0" borderId="0" xfId="0" applyFont="1" applyAlignment="1" applyProtection="1">
      <alignment wrapText="1"/>
      <protection hidden="1"/>
    </xf>
    <xf numFmtId="0" fontId="0" fillId="0" borderId="139" xfId="0" applyBorder="1" applyAlignment="1" applyProtection="1">
      <alignment horizontal="left"/>
      <protection hidden="1"/>
    </xf>
    <xf numFmtId="1" fontId="0" fillId="4" borderId="133" xfId="0" applyNumberFormat="1" applyFill="1" applyBorder="1" applyAlignment="1" applyProtection="1">
      <alignment horizontal="right"/>
      <protection locked="0"/>
    </xf>
    <xf numFmtId="0" fontId="7" fillId="0" borderId="139" xfId="0" applyFont="1" applyBorder="1" applyAlignment="1" applyProtection="1">
      <alignment vertical="center"/>
      <protection hidden="1"/>
    </xf>
    <xf numFmtId="44" fontId="0" fillId="0" borderId="133" xfId="1" applyFont="1" applyFill="1" applyBorder="1" applyAlignment="1" applyProtection="1">
      <alignment horizontal="left"/>
      <protection hidden="1"/>
    </xf>
    <xf numFmtId="0" fontId="6" fillId="0" borderId="41" xfId="0" applyFont="1" applyBorder="1" applyProtection="1">
      <protection hidden="1"/>
    </xf>
    <xf numFmtId="1" fontId="0" fillId="4" borderId="42" xfId="0" applyNumberFormat="1" applyFill="1" applyBorder="1" applyAlignment="1" applyProtection="1">
      <alignment horizontal="right"/>
      <protection locked="0"/>
    </xf>
    <xf numFmtId="0" fontId="0" fillId="0" borderId="42" xfId="0" applyBorder="1" applyProtection="1">
      <protection hidden="1"/>
    </xf>
    <xf numFmtId="1" fontId="0" fillId="0" borderId="42" xfId="0" applyNumberFormat="1" applyFill="1" applyBorder="1" applyAlignment="1" applyProtection="1">
      <alignment horizontal="right"/>
      <protection hidden="1"/>
    </xf>
    <xf numFmtId="0" fontId="6" fillId="0" borderId="8" xfId="0" applyFont="1" applyBorder="1" applyAlignment="1" applyProtection="1">
      <protection hidden="1"/>
    </xf>
    <xf numFmtId="44" fontId="0" fillId="0" borderId="42" xfId="1" applyFont="1" applyFill="1" applyBorder="1" applyAlignment="1" applyProtection="1">
      <alignment horizontal="left"/>
      <protection hidden="1"/>
    </xf>
    <xf numFmtId="166" fontId="0" fillId="4" borderId="42" xfId="1" applyNumberFormat="1" applyFont="1" applyFill="1" applyBorder="1" applyAlignment="1" applyProtection="1">
      <alignment horizontal="center"/>
      <protection locked="0"/>
    </xf>
    <xf numFmtId="0" fontId="6" fillId="0" borderId="137" xfId="0" applyFont="1" applyBorder="1" applyProtection="1">
      <protection hidden="1"/>
    </xf>
    <xf numFmtId="170" fontId="0" fillId="4" borderId="42" xfId="2" applyNumberFormat="1" applyFont="1" applyFill="1" applyBorder="1" applyAlignment="1" applyProtection="1">
      <alignment horizontal="right"/>
      <protection locked="0"/>
    </xf>
    <xf numFmtId="0" fontId="0" fillId="0" borderId="0" xfId="0" applyAlignment="1" applyProtection="1">
      <alignment vertical="center"/>
      <protection hidden="1"/>
    </xf>
    <xf numFmtId="0" fontId="0" fillId="0" borderId="94" xfId="0" applyBorder="1" applyAlignment="1" applyProtection="1">
      <alignment horizontal="left"/>
      <protection hidden="1"/>
    </xf>
    <xf numFmtId="0" fontId="0" fillId="0" borderId="8" xfId="0" applyBorder="1" applyAlignment="1" applyProtection="1">
      <protection hidden="1"/>
    </xf>
    <xf numFmtId="0" fontId="6" fillId="0" borderId="0" xfId="0" applyFont="1" applyBorder="1" applyProtection="1">
      <protection hidden="1"/>
    </xf>
    <xf numFmtId="0" fontId="6" fillId="0" borderId="0" xfId="0" applyFont="1" applyBorder="1" applyAlignment="1" applyProtection="1">
      <alignment horizontal="left" vertical="center"/>
      <protection hidden="1"/>
    </xf>
    <xf numFmtId="0" fontId="0" fillId="0" borderId="8" xfId="0" applyBorder="1" applyAlignment="1" applyProtection="1">
      <alignment wrapText="1"/>
      <protection hidden="1"/>
    </xf>
    <xf numFmtId="168" fontId="0" fillId="0" borderId="0" xfId="0" applyNumberFormat="1" applyFill="1" applyBorder="1" applyAlignment="1" applyProtection="1">
      <alignment horizontal="right"/>
      <protection hidden="1"/>
    </xf>
    <xf numFmtId="0" fontId="6" fillId="0" borderId="43" xfId="0" applyFont="1" applyBorder="1" applyProtection="1">
      <protection hidden="1"/>
    </xf>
    <xf numFmtId="166" fontId="0" fillId="4" borderId="49" xfId="0" applyNumberFormat="1" applyFill="1" applyBorder="1" applyAlignment="1" applyProtection="1">
      <alignment horizontal="center"/>
      <protection locked="0"/>
    </xf>
    <xf numFmtId="0" fontId="6" fillId="0" borderId="48" xfId="0" applyFont="1" applyBorder="1" applyProtection="1">
      <protection hidden="1"/>
    </xf>
    <xf numFmtId="0" fontId="6" fillId="0" borderId="0" xfId="0" applyFont="1" applyFill="1" applyBorder="1" applyAlignment="1" applyProtection="1">
      <alignment horizontal="left"/>
      <protection hidden="1"/>
    </xf>
    <xf numFmtId="0" fontId="0" fillId="0" borderId="44" xfId="0" applyBorder="1" applyProtection="1">
      <protection hidden="1"/>
    </xf>
    <xf numFmtId="9" fontId="0" fillId="0" borderId="0" xfId="2" applyFont="1" applyFill="1" applyBorder="1" applyAlignment="1" applyProtection="1">
      <alignment horizontal="right"/>
      <protection hidden="1"/>
    </xf>
    <xf numFmtId="0" fontId="6" fillId="0" borderId="142" xfId="0" applyFont="1" applyBorder="1" applyProtection="1">
      <protection hidden="1"/>
    </xf>
    <xf numFmtId="0" fontId="0" fillId="0" borderId="143" xfId="0" applyBorder="1" applyAlignment="1" applyProtection="1">
      <alignment horizontal="left"/>
      <protection hidden="1"/>
    </xf>
    <xf numFmtId="170" fontId="0" fillId="4" borderId="144" xfId="2" applyNumberFormat="1" applyFont="1" applyFill="1" applyBorder="1" applyAlignment="1" applyProtection="1">
      <alignment horizontal="right"/>
      <protection locked="0"/>
    </xf>
    <xf numFmtId="0" fontId="6" fillId="0" borderId="9" xfId="0" applyFont="1" applyBorder="1" applyProtection="1">
      <protection hidden="1"/>
    </xf>
    <xf numFmtId="0" fontId="6" fillId="0" borderId="10" xfId="0" applyFont="1" applyBorder="1" applyAlignment="1" applyProtection="1">
      <alignment horizontal="left" vertical="center"/>
      <protection hidden="1"/>
    </xf>
    <xf numFmtId="170" fontId="0" fillId="3" borderId="11" xfId="0" applyNumberFormat="1" applyFill="1" applyBorder="1" applyProtection="1">
      <protection hidden="1"/>
    </xf>
    <xf numFmtId="0" fontId="6" fillId="0" borderId="13" xfId="0" applyFont="1" applyFill="1" applyBorder="1" applyProtection="1">
      <protection hidden="1"/>
    </xf>
    <xf numFmtId="0" fontId="0" fillId="0" borderId="14" xfId="0" applyBorder="1" applyProtection="1">
      <protection hidden="1"/>
    </xf>
    <xf numFmtId="0" fontId="6" fillId="0" borderId="13" xfId="0" applyFont="1" applyBorder="1" applyProtection="1">
      <protection hidden="1"/>
    </xf>
    <xf numFmtId="170" fontId="0" fillId="3" borderId="145" xfId="0" applyNumberFormat="1" applyFill="1" applyBorder="1" applyAlignment="1" applyProtection="1">
      <alignment horizontal="right"/>
      <protection hidden="1"/>
    </xf>
    <xf numFmtId="166" fontId="0" fillId="3" borderId="14" xfId="0" applyNumberFormat="1" applyFill="1" applyBorder="1" applyAlignment="1" applyProtection="1">
      <alignment horizontal="center"/>
      <protection hidden="1"/>
    </xf>
    <xf numFmtId="0" fontId="0" fillId="5" borderId="8" xfId="0" applyFill="1" applyBorder="1" applyAlignment="1" applyProtection="1">
      <alignment horizontal="left"/>
      <protection hidden="1"/>
    </xf>
    <xf numFmtId="170" fontId="6" fillId="5" borderId="14" xfId="0" applyNumberFormat="1" applyFont="1" applyFill="1" applyBorder="1" applyAlignment="1" applyProtection="1">
      <alignment horizontal="right"/>
      <protection hidden="1"/>
    </xf>
    <xf numFmtId="44" fontId="0" fillId="0" borderId="0" xfId="0" applyNumberFormat="1" applyFont="1" applyFill="1" applyBorder="1" applyProtection="1">
      <protection hidden="1"/>
    </xf>
    <xf numFmtId="0" fontId="6" fillId="5" borderId="13" xfId="0" applyFont="1" applyFill="1" applyBorder="1" applyProtection="1">
      <protection hidden="1"/>
    </xf>
    <xf numFmtId="0" fontId="6" fillId="0" borderId="15" xfId="0" applyFont="1" applyBorder="1" applyProtection="1">
      <protection hidden="1"/>
    </xf>
    <xf numFmtId="0" fontId="0" fillId="0" borderId="16" xfId="0" applyBorder="1" applyAlignment="1" applyProtection="1">
      <alignment horizontal="left"/>
      <protection hidden="1"/>
    </xf>
    <xf numFmtId="170" fontId="6" fillId="3" borderId="17" xfId="0" applyNumberFormat="1" applyFont="1" applyFill="1" applyBorder="1" applyAlignment="1" applyProtection="1">
      <alignment horizontal="right"/>
      <protection hidden="1"/>
    </xf>
    <xf numFmtId="44" fontId="6" fillId="0" borderId="0" xfId="0" applyNumberFormat="1" applyFont="1" applyFill="1" applyBorder="1" applyProtection="1">
      <protection hidden="1"/>
    </xf>
    <xf numFmtId="1" fontId="0" fillId="0" borderId="0" xfId="0" applyNumberFormat="1" applyFill="1" applyBorder="1" applyAlignment="1" applyProtection="1">
      <alignment horizontal="right"/>
      <protection hidden="1"/>
    </xf>
    <xf numFmtId="176" fontId="6" fillId="0" borderId="0" xfId="0" applyNumberFormat="1" applyFont="1" applyFill="1" applyBorder="1" applyAlignment="1" applyProtection="1">
      <alignment horizontal="right"/>
      <protection hidden="1"/>
    </xf>
    <xf numFmtId="0" fontId="0" fillId="0" borderId="0" xfId="0" applyBorder="1" applyAlignment="1" applyProtection="1">
      <alignment vertical="center"/>
      <protection hidden="1"/>
    </xf>
    <xf numFmtId="0" fontId="6" fillId="0" borderId="0" xfId="0" applyFont="1" applyBorder="1" applyAlignment="1" applyProtection="1">
      <alignment horizontal="left"/>
      <protection hidden="1"/>
    </xf>
    <xf numFmtId="9" fontId="0" fillId="0" borderId="0" xfId="2" applyFont="1" applyFill="1" applyBorder="1" applyAlignment="1" applyProtection="1">
      <alignment horizontal="left"/>
      <protection hidden="1"/>
    </xf>
    <xf numFmtId="44" fontId="6" fillId="0" borderId="0" xfId="0" applyNumberFormat="1" applyFont="1" applyFill="1" applyBorder="1" applyAlignment="1" applyProtection="1">
      <alignment horizontal="left"/>
      <protection hidden="1"/>
    </xf>
    <xf numFmtId="0" fontId="14" fillId="0" borderId="0" xfId="0" applyFont="1" applyBorder="1" applyAlignment="1" applyProtection="1">
      <alignment vertical="center"/>
      <protection hidden="1"/>
    </xf>
    <xf numFmtId="2" fontId="0" fillId="0" borderId="0" xfId="0" applyNumberFormat="1" applyFill="1" applyProtection="1">
      <protection hidden="1"/>
    </xf>
    <xf numFmtId="0" fontId="0" fillId="0" borderId="133" xfId="0" applyBorder="1" applyAlignment="1" applyProtection="1">
      <alignment horizontal="left"/>
      <protection hidden="1"/>
    </xf>
    <xf numFmtId="0" fontId="0" fillId="0" borderId="133" xfId="0" applyFill="1" applyBorder="1" applyAlignment="1" applyProtection="1">
      <alignment horizontal="left"/>
      <protection hidden="1"/>
    </xf>
    <xf numFmtId="170" fontId="0" fillId="0" borderId="42" xfId="0" applyNumberFormat="1" applyFill="1" applyBorder="1" applyAlignment="1" applyProtection="1">
      <alignment horizontal="right"/>
      <protection hidden="1"/>
    </xf>
    <xf numFmtId="2" fontId="0" fillId="0" borderId="45" xfId="0" applyNumberFormat="1" applyFill="1" applyBorder="1" applyAlignment="1" applyProtection="1">
      <alignment horizontal="right"/>
      <protection hidden="1"/>
    </xf>
    <xf numFmtId="0" fontId="0" fillId="0" borderId="140" xfId="0" applyBorder="1" applyAlignment="1" applyProtection="1">
      <alignment horizontal="center"/>
      <protection hidden="1"/>
    </xf>
    <xf numFmtId="0" fontId="0" fillId="0" borderId="142" xfId="0" applyFont="1" applyBorder="1" applyAlignment="1" applyProtection="1">
      <alignment horizontal="center"/>
      <protection hidden="1"/>
    </xf>
    <xf numFmtId="0" fontId="6" fillId="0" borderId="51" xfId="0" applyFont="1" applyBorder="1" applyProtection="1">
      <protection hidden="1"/>
    </xf>
    <xf numFmtId="166" fontId="0" fillId="5" borderId="141" xfId="0" applyNumberFormat="1" applyFill="1" applyBorder="1" applyAlignment="1" applyProtection="1">
      <alignment horizontal="center"/>
      <protection hidden="1"/>
    </xf>
    <xf numFmtId="166" fontId="0" fillId="5" borderId="45" xfId="0" applyNumberFormat="1" applyFill="1" applyBorder="1" applyAlignment="1" applyProtection="1">
      <alignment horizontal="center"/>
      <protection hidden="1"/>
    </xf>
    <xf numFmtId="0" fontId="0" fillId="0" borderId="0" xfId="0" applyFill="1" applyAlignment="1" applyProtection="1">
      <alignment horizontal="center"/>
      <protection hidden="1"/>
    </xf>
    <xf numFmtId="0" fontId="0" fillId="0" borderId="53" xfId="0" applyFill="1" applyBorder="1" applyAlignment="1" applyProtection="1">
      <alignment horizontal="center"/>
      <protection hidden="1"/>
    </xf>
    <xf numFmtId="9" fontId="0" fillId="9" borderId="54" xfId="2" applyFont="1" applyFill="1" applyBorder="1" applyAlignment="1" applyProtection="1">
      <alignment horizontal="center"/>
      <protection hidden="1"/>
    </xf>
    <xf numFmtId="9" fontId="0" fillId="9" borderId="45" xfId="2" applyFont="1" applyFill="1" applyBorder="1" applyAlignment="1" applyProtection="1">
      <alignment horizontal="center"/>
      <protection hidden="1"/>
    </xf>
    <xf numFmtId="170" fontId="0" fillId="0" borderId="8" xfId="0" applyNumberFormat="1" applyBorder="1" applyAlignment="1" applyProtection="1">
      <alignment horizontal="center"/>
      <protection hidden="1"/>
    </xf>
    <xf numFmtId="170" fontId="0" fillId="3" borderId="42" xfId="0" applyNumberFormat="1" applyFill="1" applyBorder="1" applyAlignment="1" applyProtection="1">
      <alignment horizontal="center" vertical="center"/>
      <protection hidden="1"/>
    </xf>
    <xf numFmtId="170" fontId="0" fillId="4" borderId="42" xfId="0" applyNumberFormat="1" applyFill="1" applyBorder="1" applyAlignment="1" applyProtection="1">
      <alignment horizontal="center"/>
      <protection locked="0"/>
    </xf>
    <xf numFmtId="44" fontId="0" fillId="0" borderId="0" xfId="0" applyNumberFormat="1" applyFill="1" applyBorder="1" applyAlignment="1" applyProtection="1">
      <alignment horizontal="center"/>
      <protection hidden="1"/>
    </xf>
    <xf numFmtId="170" fontId="0" fillId="4" borderId="12" xfId="1" applyNumberFormat="1" applyFont="1" applyFill="1" applyBorder="1" applyAlignment="1" applyProtection="1">
      <alignment horizontal="center"/>
      <protection locked="0"/>
    </xf>
    <xf numFmtId="170" fontId="0" fillId="4" borderId="39" xfId="1" applyNumberFormat="1" applyFont="1" applyFill="1" applyBorder="1" applyAlignment="1" applyProtection="1">
      <alignment horizontal="center"/>
      <protection locked="0"/>
    </xf>
    <xf numFmtId="170" fontId="0" fillId="4" borderId="8" xfId="1" applyNumberFormat="1" applyFont="1" applyFill="1" applyBorder="1" applyAlignment="1" applyProtection="1">
      <alignment horizontal="center"/>
      <protection locked="0"/>
    </xf>
    <xf numFmtId="170" fontId="0" fillId="4" borderId="20" xfId="1" applyNumberFormat="1" applyFont="1" applyFill="1" applyBorder="1" applyAlignment="1" applyProtection="1">
      <alignment horizontal="center"/>
      <protection locked="0"/>
    </xf>
    <xf numFmtId="170" fontId="0" fillId="4" borderId="8" xfId="0" applyNumberFormat="1" applyFill="1" applyBorder="1" applyAlignment="1" applyProtection="1">
      <alignment horizontal="center"/>
      <protection locked="0"/>
    </xf>
    <xf numFmtId="170" fontId="0" fillId="4" borderId="20" xfId="0" applyNumberFormat="1" applyFill="1" applyBorder="1" applyAlignment="1" applyProtection="1">
      <alignment horizontal="center"/>
      <protection locked="0"/>
    </xf>
    <xf numFmtId="170" fontId="0" fillId="0" borderId="20" xfId="0" applyNumberFormat="1" applyBorder="1" applyAlignment="1" applyProtection="1">
      <alignment horizontal="center"/>
      <protection hidden="1"/>
    </xf>
    <xf numFmtId="170" fontId="0" fillId="0" borderId="42" xfId="0" applyNumberFormat="1" applyFill="1" applyBorder="1" applyAlignment="1" applyProtection="1">
      <alignment horizontal="center"/>
      <protection hidden="1"/>
    </xf>
    <xf numFmtId="170" fontId="0" fillId="4" borderId="44" xfId="1" applyNumberFormat="1" applyFont="1" applyFill="1" applyBorder="1" applyAlignment="1" applyProtection="1">
      <alignment horizontal="center"/>
      <protection locked="0"/>
    </xf>
    <xf numFmtId="170" fontId="0" fillId="4" borderId="58" xfId="1" applyNumberFormat="1" applyFont="1" applyFill="1" applyBorder="1" applyAlignment="1" applyProtection="1">
      <alignment horizontal="center"/>
      <protection locked="0"/>
    </xf>
    <xf numFmtId="170" fontId="0" fillId="4" borderId="45" xfId="1" applyNumberFormat="1" applyFont="1" applyFill="1" applyBorder="1" applyAlignment="1" applyProtection="1">
      <alignment horizontal="center"/>
      <protection locked="0"/>
    </xf>
    <xf numFmtId="3" fontId="0" fillId="3" borderId="133" xfId="0" applyNumberFormat="1" applyFill="1" applyBorder="1" applyAlignment="1" applyProtection="1">
      <alignment horizontal="center" wrapText="1"/>
      <protection hidden="1"/>
    </xf>
    <xf numFmtId="3" fontId="0" fillId="4" borderId="42" xfId="2" applyNumberFormat="1" applyFont="1" applyFill="1" applyBorder="1" applyAlignment="1" applyProtection="1">
      <alignment horizontal="center"/>
      <protection locked="0"/>
    </xf>
    <xf numFmtId="3" fontId="0" fillId="0" borderId="42" xfId="2" applyNumberFormat="1" applyFont="1" applyBorder="1" applyAlignment="1" applyProtection="1">
      <alignment horizontal="center"/>
      <protection hidden="1"/>
    </xf>
    <xf numFmtId="3" fontId="0" fillId="3" borderId="42" xfId="2" applyNumberFormat="1" applyFont="1" applyFill="1" applyBorder="1" applyAlignment="1" applyProtection="1">
      <alignment horizontal="center"/>
      <protection hidden="1"/>
    </xf>
    <xf numFmtId="3" fontId="0" fillId="0" borderId="42" xfId="0" applyNumberFormat="1" applyBorder="1" applyAlignment="1" applyProtection="1">
      <alignment horizontal="left"/>
      <protection hidden="1"/>
    </xf>
    <xf numFmtId="3" fontId="0" fillId="4" borderId="45" xfId="2" applyNumberFormat="1" applyFont="1" applyFill="1" applyBorder="1" applyAlignment="1" applyProtection="1">
      <alignment horizontal="center"/>
      <protection locked="0"/>
    </xf>
    <xf numFmtId="3" fontId="0" fillId="0" borderId="0" xfId="0" applyNumberFormat="1" applyAlignment="1" applyProtection="1">
      <alignment horizontal="left"/>
      <protection hidden="1"/>
    </xf>
    <xf numFmtId="3" fontId="6" fillId="0" borderId="50" xfId="0" applyNumberFormat="1" applyFont="1" applyFill="1" applyBorder="1" applyAlignment="1" applyProtection="1">
      <alignment horizontal="center"/>
      <protection hidden="1"/>
    </xf>
    <xf numFmtId="3" fontId="6" fillId="0" borderId="94" xfId="0" applyNumberFormat="1" applyFont="1" applyFill="1" applyBorder="1" applyAlignment="1" applyProtection="1">
      <alignment horizontal="center"/>
      <protection hidden="1"/>
    </xf>
    <xf numFmtId="3" fontId="6" fillId="0" borderId="50" xfId="0" applyNumberFormat="1" applyFont="1" applyBorder="1" applyAlignment="1" applyProtection="1">
      <alignment horizontal="left"/>
      <protection hidden="1"/>
    </xf>
    <xf numFmtId="3" fontId="6" fillId="0" borderId="94" xfId="0" applyNumberFormat="1" applyFont="1" applyBorder="1" applyAlignment="1" applyProtection="1">
      <alignment horizontal="left"/>
      <protection hidden="1"/>
    </xf>
    <xf numFmtId="3" fontId="0" fillId="4" borderId="0" xfId="0" applyNumberFormat="1" applyFill="1" applyAlignment="1" applyProtection="1">
      <alignment horizontal="right"/>
      <protection locked="0"/>
    </xf>
    <xf numFmtId="0" fontId="0" fillId="2" borderId="8" xfId="0" applyFill="1" applyBorder="1" applyAlignment="1" applyProtection="1">
      <alignment horizontal="center"/>
      <protection hidden="1"/>
    </xf>
    <xf numFmtId="0" fontId="0" fillId="2" borderId="20" xfId="0" applyFill="1" applyBorder="1" applyAlignment="1" applyProtection="1">
      <alignment horizontal="center"/>
      <protection hidden="1"/>
    </xf>
    <xf numFmtId="0" fontId="0" fillId="2" borderId="42" xfId="0" applyFill="1" applyBorder="1" applyAlignment="1" applyProtection="1">
      <alignment horizontal="center"/>
      <protection hidden="1"/>
    </xf>
    <xf numFmtId="3" fontId="0" fillId="4" borderId="144" xfId="0" applyNumberFormat="1" applyFill="1" applyBorder="1" applyAlignment="1" applyProtection="1">
      <alignment horizontal="center" vertical="center"/>
      <protection locked="0"/>
    </xf>
    <xf numFmtId="170" fontId="0" fillId="0" borderId="51" xfId="1" applyNumberFormat="1" applyFont="1" applyFill="1" applyBorder="1" applyAlignment="1" applyProtection="1">
      <alignment horizontal="right"/>
      <protection hidden="1"/>
    </xf>
    <xf numFmtId="1" fontId="0" fillId="4" borderId="8" xfId="0" applyNumberFormat="1" applyFill="1" applyBorder="1" applyAlignment="1" applyProtection="1">
      <alignment horizontal="center"/>
      <protection locked="0"/>
    </xf>
    <xf numFmtId="1" fontId="0" fillId="4" borderId="20" xfId="0" applyNumberFormat="1" applyFill="1" applyBorder="1" applyAlignment="1" applyProtection="1">
      <alignment horizontal="center"/>
      <protection locked="0"/>
    </xf>
    <xf numFmtId="0" fontId="6" fillId="0" borderId="39" xfId="0" applyFont="1" applyBorder="1" applyAlignment="1" applyProtection="1">
      <alignment horizontal="left"/>
      <protection hidden="1"/>
    </xf>
    <xf numFmtId="0" fontId="6" fillId="0" borderId="8" xfId="0" applyFont="1" applyBorder="1" applyAlignment="1" applyProtection="1">
      <alignment horizontal="left"/>
      <protection hidden="1"/>
    </xf>
    <xf numFmtId="0" fontId="6" fillId="0" borderId="18" xfId="0" applyFont="1" applyBorder="1" applyAlignment="1" applyProtection="1">
      <alignment horizontal="left"/>
      <protection hidden="1"/>
    </xf>
    <xf numFmtId="0" fontId="0" fillId="0" borderId="8" xfId="0" applyBorder="1" applyAlignment="1" applyProtection="1">
      <alignment horizontal="left"/>
      <protection hidden="1"/>
    </xf>
    <xf numFmtId="0" fontId="0" fillId="0" borderId="0" xfId="0" applyBorder="1" applyAlignment="1" applyProtection="1">
      <alignment horizontal="left"/>
      <protection hidden="1"/>
    </xf>
    <xf numFmtId="0" fontId="0" fillId="0" borderId="51" xfId="0" applyFont="1" applyBorder="1" applyAlignment="1" applyProtection="1">
      <alignment horizontal="center"/>
      <protection hidden="1"/>
    </xf>
    <xf numFmtId="166" fontId="0" fillId="0" borderId="42" xfId="0" applyNumberFormat="1" applyBorder="1" applyProtection="1">
      <protection hidden="1"/>
    </xf>
    <xf numFmtId="0" fontId="6" fillId="0" borderId="143" xfId="0" applyFont="1" applyBorder="1" applyAlignment="1" applyProtection="1">
      <alignment horizontal="left" wrapText="1"/>
      <protection hidden="1"/>
    </xf>
    <xf numFmtId="0" fontId="6" fillId="0" borderId="143" xfId="0" applyFont="1" applyBorder="1" applyAlignment="1" applyProtection="1">
      <alignment horizontal="left"/>
      <protection hidden="1"/>
    </xf>
    <xf numFmtId="3" fontId="6" fillId="3" borderId="137" xfId="0" applyNumberFormat="1" applyFont="1" applyFill="1" applyBorder="1" applyAlignment="1" applyProtection="1">
      <alignment horizontal="center"/>
      <protection hidden="1"/>
    </xf>
    <xf numFmtId="3" fontId="6" fillId="3" borderId="53" xfId="0" applyNumberFormat="1" applyFont="1" applyFill="1" applyBorder="1" applyAlignment="1" applyProtection="1">
      <alignment horizontal="center"/>
      <protection hidden="1"/>
    </xf>
    <xf numFmtId="0" fontId="6" fillId="0" borderId="88" xfId="0" applyFont="1" applyBorder="1" applyAlignment="1" applyProtection="1">
      <alignment horizontal="center" wrapText="1"/>
      <protection hidden="1"/>
    </xf>
    <xf numFmtId="0" fontId="6" fillId="0" borderId="93" xfId="0" applyFont="1" applyBorder="1" applyAlignment="1" applyProtection="1">
      <alignment horizontal="center" wrapText="1"/>
      <protection hidden="1"/>
    </xf>
    <xf numFmtId="3" fontId="6" fillId="3" borderId="138" xfId="0" applyNumberFormat="1" applyFont="1" applyFill="1" applyBorder="1" applyAlignment="1" applyProtection="1">
      <alignment horizontal="center"/>
      <protection hidden="1"/>
    </xf>
    <xf numFmtId="3" fontId="6" fillId="3" borderId="54" xfId="0" applyNumberFormat="1" applyFont="1" applyFill="1" applyBorder="1" applyAlignment="1" applyProtection="1">
      <alignment horizontal="center"/>
      <protection hidden="1"/>
    </xf>
    <xf numFmtId="170" fontId="6" fillId="5" borderId="46" xfId="0" applyNumberFormat="1" applyFont="1" applyFill="1" applyBorder="1" applyAlignment="1" applyProtection="1">
      <alignment horizontal="center"/>
      <protection hidden="1"/>
    </xf>
    <xf numFmtId="170" fontId="6" fillId="5" borderId="52" xfId="0" applyNumberFormat="1" applyFont="1" applyFill="1" applyBorder="1" applyAlignment="1" applyProtection="1">
      <alignment horizontal="center"/>
      <protection hidden="1"/>
    </xf>
    <xf numFmtId="174" fontId="6" fillId="5" borderId="58" xfId="0" applyNumberFormat="1" applyFont="1" applyFill="1" applyBorder="1" applyAlignment="1" applyProtection="1">
      <alignment horizontal="center"/>
      <protection hidden="1"/>
    </xf>
    <xf numFmtId="174" fontId="6" fillId="5" borderId="54" xfId="0" applyNumberFormat="1" applyFont="1" applyFill="1" applyBorder="1" applyAlignment="1" applyProtection="1">
      <alignment horizontal="center"/>
      <protection hidden="1"/>
    </xf>
    <xf numFmtId="174" fontId="6" fillId="5" borderId="20" xfId="0" applyNumberFormat="1" applyFont="1" applyFill="1" applyBorder="1" applyAlignment="1" applyProtection="1">
      <alignment horizontal="center"/>
      <protection hidden="1"/>
    </xf>
    <xf numFmtId="174" fontId="6" fillId="5" borderId="53" xfId="0" applyNumberFormat="1" applyFont="1" applyFill="1" applyBorder="1" applyAlignment="1" applyProtection="1">
      <alignment horizontal="center"/>
      <protection hidden="1"/>
    </xf>
    <xf numFmtId="3" fontId="6" fillId="5" borderId="20" xfId="0" applyNumberFormat="1" applyFont="1" applyFill="1" applyBorder="1" applyAlignment="1" applyProtection="1">
      <alignment horizontal="center"/>
      <protection hidden="1"/>
    </xf>
    <xf numFmtId="3" fontId="6" fillId="5" borderId="53" xfId="0" applyNumberFormat="1" applyFont="1" applyFill="1" applyBorder="1" applyAlignment="1" applyProtection="1">
      <alignment horizontal="center"/>
      <protection hidden="1"/>
    </xf>
    <xf numFmtId="170" fontId="6" fillId="5" borderId="20" xfId="0" applyNumberFormat="1" applyFont="1" applyFill="1" applyBorder="1" applyAlignment="1" applyProtection="1">
      <alignment horizontal="center"/>
      <protection hidden="1"/>
    </xf>
    <xf numFmtId="170" fontId="6" fillId="5" borderId="53" xfId="0" applyNumberFormat="1" applyFont="1" applyFill="1" applyBorder="1" applyAlignment="1" applyProtection="1">
      <alignment horizontal="center"/>
      <protection hidden="1"/>
    </xf>
    <xf numFmtId="0" fontId="0" fillId="0" borderId="55" xfId="0" applyBorder="1" applyAlignment="1" applyProtection="1">
      <alignment horizontal="left"/>
      <protection hidden="1"/>
    </xf>
    <xf numFmtId="0" fontId="0" fillId="0" borderId="52" xfId="0" applyBorder="1" applyAlignment="1" applyProtection="1">
      <alignment horizontal="left"/>
      <protection hidden="1"/>
    </xf>
    <xf numFmtId="0" fontId="0" fillId="0" borderId="8" xfId="0" applyBorder="1" applyAlignment="1" applyProtection="1">
      <alignment horizontal="left"/>
      <protection hidden="1"/>
    </xf>
    <xf numFmtId="0" fontId="0" fillId="0" borderId="19"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68" xfId="0" applyBorder="1" applyAlignment="1" applyProtection="1">
      <alignment horizontal="left" vertical="center"/>
      <protection hidden="1"/>
    </xf>
    <xf numFmtId="0" fontId="0" fillId="0" borderId="69" xfId="0" applyBorder="1" applyAlignment="1" applyProtection="1">
      <alignment horizontal="left" vertical="center"/>
      <protection hidden="1"/>
    </xf>
    <xf numFmtId="0" fontId="0" fillId="0" borderId="20" xfId="0" applyFont="1" applyFill="1" applyBorder="1" applyAlignment="1" applyProtection="1">
      <alignment horizontal="left"/>
      <protection hidden="1"/>
    </xf>
    <xf numFmtId="0" fontId="0" fillId="0" borderId="12" xfId="0" applyFont="1" applyFill="1" applyBorder="1" applyAlignment="1" applyProtection="1">
      <alignment horizontal="left"/>
      <protection hidden="1"/>
    </xf>
    <xf numFmtId="0" fontId="0" fillId="0" borderId="58" xfId="0" applyFont="1" applyFill="1" applyBorder="1" applyAlignment="1" applyProtection="1">
      <alignment horizontal="left"/>
      <protection hidden="1"/>
    </xf>
    <xf numFmtId="0" fontId="0" fillId="0" borderId="67" xfId="0" applyFont="1" applyFill="1" applyBorder="1" applyAlignment="1" applyProtection="1">
      <alignment horizontal="left"/>
      <protection hidden="1"/>
    </xf>
    <xf numFmtId="0" fontId="0" fillId="0" borderId="20" xfId="0" applyBorder="1" applyAlignment="1" applyProtection="1">
      <alignment horizontal="left"/>
      <protection hidden="1"/>
    </xf>
    <xf numFmtId="0" fontId="0" fillId="0" borderId="12" xfId="0" applyBorder="1" applyAlignment="1" applyProtection="1">
      <alignment horizontal="left"/>
      <protection hidden="1"/>
    </xf>
    <xf numFmtId="0" fontId="0" fillId="0" borderId="20" xfId="0" applyFill="1" applyBorder="1" applyAlignment="1" applyProtection="1">
      <alignment horizontal="left"/>
      <protection hidden="1"/>
    </xf>
    <xf numFmtId="0" fontId="0" fillId="0" borderId="12" xfId="0" applyFill="1" applyBorder="1" applyAlignment="1" applyProtection="1">
      <alignment horizontal="left"/>
      <protection hidden="1"/>
    </xf>
    <xf numFmtId="0" fontId="0" fillId="0" borderId="46" xfId="0" applyBorder="1" applyAlignment="1" applyProtection="1">
      <alignment horizontal="left" vertical="center"/>
      <protection hidden="1"/>
    </xf>
    <xf numFmtId="0" fontId="0" fillId="0" borderId="47" xfId="0" applyBorder="1" applyAlignment="1" applyProtection="1">
      <alignment horizontal="left" vertical="center"/>
      <protection hidden="1"/>
    </xf>
    <xf numFmtId="0" fontId="6" fillId="0" borderId="39" xfId="0" applyFont="1" applyBorder="1" applyAlignment="1" applyProtection="1">
      <alignment horizontal="left"/>
      <protection hidden="1"/>
    </xf>
    <xf numFmtId="0" fontId="6" fillId="0" borderId="8" xfId="0" applyFont="1" applyBorder="1" applyAlignment="1" applyProtection="1">
      <alignment horizontal="left"/>
      <protection hidden="1"/>
    </xf>
    <xf numFmtId="0" fontId="6" fillId="0" borderId="18" xfId="0" applyFont="1" applyBorder="1" applyAlignment="1" applyProtection="1">
      <alignment horizontal="left"/>
      <protection hidden="1"/>
    </xf>
    <xf numFmtId="0" fontId="0" fillId="0" borderId="51" xfId="0" applyBorder="1" applyAlignment="1" applyProtection="1">
      <alignment horizontal="left" vertical="center"/>
      <protection hidden="1"/>
    </xf>
    <xf numFmtId="0" fontId="43" fillId="0" borderId="0" xfId="0" applyFont="1" applyAlignment="1" applyProtection="1">
      <alignment horizontal="left"/>
      <protection hidden="1"/>
    </xf>
    <xf numFmtId="0" fontId="0" fillId="0" borderId="0" xfId="0" applyBorder="1" applyAlignment="1" applyProtection="1">
      <alignment horizontal="left"/>
      <protection hidden="1"/>
    </xf>
    <xf numFmtId="0" fontId="0" fillId="5" borderId="118" xfId="0" applyFill="1" applyBorder="1" applyAlignment="1" applyProtection="1">
      <alignment horizontal="left"/>
      <protection hidden="1"/>
    </xf>
    <xf numFmtId="0" fontId="0" fillId="5" borderId="104" xfId="0" applyFill="1" applyBorder="1" applyAlignment="1" applyProtection="1">
      <alignment horizontal="left"/>
      <protection hidden="1"/>
    </xf>
    <xf numFmtId="0" fontId="0" fillId="0" borderId="0" xfId="0" applyFont="1" applyAlignment="1" applyProtection="1">
      <alignment horizontal="right" vertical="center"/>
      <protection hidden="1"/>
    </xf>
    <xf numFmtId="170" fontId="0" fillId="0" borderId="0" xfId="0" applyNumberFormat="1" applyFont="1" applyBorder="1" applyAlignment="1" applyProtection="1">
      <alignment horizontal="center"/>
      <protection hidden="1"/>
    </xf>
    <xf numFmtId="0" fontId="0" fillId="0" borderId="51" xfId="0" applyFont="1" applyBorder="1" applyAlignment="1" applyProtection="1">
      <alignment horizontal="center"/>
      <protection hidden="1"/>
    </xf>
    <xf numFmtId="1" fontId="0" fillId="0" borderId="74" xfId="0" applyNumberFormat="1" applyFill="1" applyBorder="1" applyAlignment="1" applyProtection="1">
      <alignment horizontal="center"/>
      <protection hidden="1"/>
    </xf>
    <xf numFmtId="0" fontId="0" fillId="0" borderId="0" xfId="0" applyProtection="1">
      <protection locked="0"/>
    </xf>
    <xf numFmtId="0" fontId="0" fillId="0" borderId="1" xfId="0" applyFill="1" applyBorder="1" applyProtection="1">
      <protection locked="0"/>
    </xf>
    <xf numFmtId="0" fontId="0" fillId="4" borderId="6" xfId="0" applyFill="1" applyBorder="1" applyProtection="1">
      <protection locked="0"/>
    </xf>
  </cellXfs>
  <cellStyles count="10">
    <cellStyle name="Dezimal [0]" xfId="3" builtinId="6"/>
    <cellStyle name="Komma" xfId="4" builtinId="3"/>
    <cellStyle name="Link" xfId="5" builtinId="8"/>
    <cellStyle name="Link 2" xfId="9"/>
    <cellStyle name="Prozent" xfId="2" builtinId="5"/>
    <cellStyle name="Standard" xfId="0" builtinId="0"/>
    <cellStyle name="Standard 2" xfId="6"/>
    <cellStyle name="Standard 3" xfId="7"/>
    <cellStyle name="Währung" xfId="1" builtinId="4"/>
    <cellStyle name="Währung 2" xfId="8"/>
  </cellStyles>
  <dxfs count="10">
    <dxf>
      <font>
        <b/>
        <i val="0"/>
        <color auto="1"/>
      </font>
      <fill>
        <patternFill>
          <bgColor rgb="FF00CC00"/>
        </patternFill>
      </fill>
    </dxf>
    <dxf>
      <font>
        <b/>
        <i val="0"/>
        <color auto="1"/>
      </font>
      <fill>
        <patternFill>
          <bgColor rgb="FFFFFF00"/>
        </patternFill>
      </fill>
    </dxf>
    <dxf>
      <font>
        <b/>
        <i val="0"/>
        <color auto="1"/>
      </font>
      <fill>
        <patternFill>
          <bgColor rgb="FFFF5050"/>
        </patternFill>
      </fill>
    </dxf>
    <dxf>
      <font>
        <color rgb="FF9C0006"/>
      </font>
      <fill>
        <patternFill>
          <bgColor theme="0"/>
        </patternFill>
      </fill>
    </dxf>
    <dxf>
      <numFmt numFmtId="177" formatCode=";;;"/>
    </dxf>
    <dxf>
      <numFmt numFmtId="177" formatCode=";;;"/>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colors>
    <mruColors>
      <color rgb="FFFF6600"/>
      <color rgb="FFFF5050"/>
      <color rgb="FF00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alkulation/Kalkulationsprogramme/Kalkulation%20aufgeteilt/fertig%20f&#252;r%20Ver&#246;ffentlichung/Weiterentwicklung/Verkostung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Kalkulation\Kalkulationsprogramme\Kalkulation%20aufgeteilt\fertig%20f&#252;r%20Ver&#246;ffentlichung\19.7.18%20Version%203%20Obst%20Kombi%20LA%20Flasche%20Holzfas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86%20Tageskilometer\Distanzberechnungs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ienungsanleitung"/>
      <sheetName val="Obst Flasche"/>
      <sheetName val="Daten Drop Down"/>
      <sheetName val="Obstbrände je LA"/>
      <sheetName val="Verkostungen"/>
      <sheetName val="Maischebereitung Verkauf"/>
    </sheetNames>
    <sheetDataSet>
      <sheetData sheetId="0"/>
      <sheetData sheetId="1"/>
      <sheetData sheetId="2">
        <row r="2">
          <cell r="A2">
            <v>300</v>
          </cell>
        </row>
        <row r="3">
          <cell r="A3">
            <v>570</v>
          </cell>
        </row>
        <row r="4">
          <cell r="A4">
            <v>840</v>
          </cell>
        </row>
        <row r="24">
          <cell r="C24">
            <v>0.1</v>
          </cell>
        </row>
        <row r="25">
          <cell r="C25">
            <v>0.2</v>
          </cell>
        </row>
        <row r="26">
          <cell r="C26">
            <v>0.35</v>
          </cell>
        </row>
        <row r="27">
          <cell r="C27">
            <v>0.5</v>
          </cell>
        </row>
        <row r="28">
          <cell r="C28">
            <v>0.7</v>
          </cell>
        </row>
        <row r="29">
          <cell r="C29">
            <v>1</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ienungsanleitung"/>
      <sheetName val="Veränderungen zu Version 1+ 2"/>
      <sheetName val="Obst Flasche"/>
      <sheetName val="Daten Drop Down"/>
      <sheetName val="Obstbrände je LA"/>
      <sheetName val="Ausbeuteberechnung PC"/>
      <sheetName val="Obst Kombi"/>
      <sheetName val="Maischebereitung Verkauf"/>
      <sheetName val="Holzfasslagerung"/>
    </sheetNames>
    <sheetDataSet>
      <sheetData sheetId="0"/>
      <sheetData sheetId="1" refreshError="1"/>
      <sheetData sheetId="2" refreshError="1"/>
      <sheetData sheetId="3">
        <row r="2">
          <cell r="A2">
            <v>300</v>
          </cell>
        </row>
        <row r="3">
          <cell r="A3">
            <v>570</v>
          </cell>
        </row>
        <row r="4">
          <cell r="A4">
            <v>840</v>
          </cell>
        </row>
        <row r="24">
          <cell r="C24">
            <v>0.1</v>
          </cell>
        </row>
        <row r="25">
          <cell r="C25">
            <v>0.2</v>
          </cell>
        </row>
        <row r="26">
          <cell r="C26">
            <v>0.35</v>
          </cell>
        </row>
        <row r="27">
          <cell r="C27">
            <v>0.5</v>
          </cell>
        </row>
        <row r="28">
          <cell r="C28">
            <v>0.7</v>
          </cell>
        </row>
        <row r="29">
          <cell r="C29">
            <v>1</v>
          </cell>
        </row>
      </sheetData>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geskilometer"/>
      <sheetName val="Übersicht"/>
      <sheetName val="Einstellungen"/>
      <sheetName val="Info"/>
    </sheetNames>
    <sheetDataSet>
      <sheetData sheetId="0"/>
      <sheetData sheetId="1"/>
      <sheetData sheetId="2">
        <row r="2">
          <cell r="C2">
            <v>2018</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uergen.friz@lvwo.bwl.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85"/>
  <sheetViews>
    <sheetView tabSelected="1" zoomScale="75" zoomScaleNormal="75" workbookViewId="0">
      <selection sqref="A1:XFD1048576"/>
    </sheetView>
  </sheetViews>
  <sheetFormatPr baseColWidth="10" defaultRowHeight="13.8" x14ac:dyDescent="0.25"/>
  <cols>
    <col min="1" max="16384" width="11.19921875" style="78"/>
  </cols>
  <sheetData>
    <row r="1" spans="1:4" ht="21" x14ac:dyDescent="0.4">
      <c r="A1" s="388" t="s">
        <v>578</v>
      </c>
    </row>
    <row r="2" spans="1:4" ht="13.8" customHeight="1" x14ac:dyDescent="0.4">
      <c r="A2" s="388"/>
    </row>
    <row r="3" spans="1:4" x14ac:dyDescent="0.25">
      <c r="A3" s="113" t="s">
        <v>579</v>
      </c>
    </row>
    <row r="4" spans="1:4" x14ac:dyDescent="0.25">
      <c r="A4" s="113" t="s">
        <v>580</v>
      </c>
    </row>
    <row r="5" spans="1:4" x14ac:dyDescent="0.25">
      <c r="A5" s="113"/>
    </row>
    <row r="6" spans="1:4" x14ac:dyDescent="0.25">
      <c r="A6" s="113" t="s">
        <v>581</v>
      </c>
    </row>
    <row r="7" spans="1:4" x14ac:dyDescent="0.25">
      <c r="A7" s="113" t="s">
        <v>582</v>
      </c>
      <c r="D7" s="113" t="s">
        <v>583</v>
      </c>
    </row>
    <row r="8" spans="1:4" x14ac:dyDescent="0.25">
      <c r="A8" s="113"/>
    </row>
    <row r="9" spans="1:4" x14ac:dyDescent="0.25">
      <c r="A9" s="113" t="s">
        <v>584</v>
      </c>
    </row>
    <row r="10" spans="1:4" x14ac:dyDescent="0.25">
      <c r="A10" s="113" t="s">
        <v>585</v>
      </c>
    </row>
    <row r="13" spans="1:4" ht="21" x14ac:dyDescent="0.4">
      <c r="A13" s="388" t="s">
        <v>258</v>
      </c>
      <c r="B13" s="388"/>
      <c r="C13" s="388"/>
    </row>
    <row r="15" spans="1:4" x14ac:dyDescent="0.25">
      <c r="A15" s="78" t="s">
        <v>259</v>
      </c>
    </row>
    <row r="16" spans="1:4" x14ac:dyDescent="0.25">
      <c r="A16" s="78" t="s">
        <v>260</v>
      </c>
    </row>
    <row r="17" spans="1:2" x14ac:dyDescent="0.25">
      <c r="A17" s="78" t="s">
        <v>261</v>
      </c>
    </row>
    <row r="18" spans="1:2" x14ac:dyDescent="0.25">
      <c r="A18" s="78" t="s">
        <v>418</v>
      </c>
    </row>
    <row r="20" spans="1:2" x14ac:dyDescent="0.25">
      <c r="A20" s="78" t="s">
        <v>262</v>
      </c>
    </row>
    <row r="22" spans="1:2" x14ac:dyDescent="0.25">
      <c r="A22" s="567"/>
      <c r="B22" s="78" t="s">
        <v>263</v>
      </c>
    </row>
    <row r="23" spans="1:2" x14ac:dyDescent="0.25">
      <c r="B23" s="78" t="s">
        <v>419</v>
      </c>
    </row>
    <row r="24" spans="1:2" x14ac:dyDescent="0.25">
      <c r="B24" s="78" t="s">
        <v>420</v>
      </c>
    </row>
    <row r="26" spans="1:2" x14ac:dyDescent="0.25">
      <c r="A26" s="568"/>
      <c r="B26" s="78" t="s">
        <v>264</v>
      </c>
    </row>
    <row r="27" spans="1:2" x14ac:dyDescent="0.25">
      <c r="B27" s="78" t="s">
        <v>265</v>
      </c>
    </row>
    <row r="29" spans="1:2" x14ac:dyDescent="0.25">
      <c r="A29" s="569"/>
      <c r="B29" s="113" t="s">
        <v>266</v>
      </c>
    </row>
    <row r="30" spans="1:2" x14ac:dyDescent="0.25">
      <c r="B30" s="113" t="s">
        <v>267</v>
      </c>
    </row>
    <row r="32" spans="1:2" x14ac:dyDescent="0.25">
      <c r="A32" s="84"/>
      <c r="B32" s="78" t="s">
        <v>432</v>
      </c>
    </row>
    <row r="33" spans="1:2" x14ac:dyDescent="0.25">
      <c r="B33" s="78" t="s">
        <v>421</v>
      </c>
    </row>
    <row r="35" spans="1:2" x14ac:dyDescent="0.25">
      <c r="A35" s="319"/>
      <c r="B35" s="78" t="s">
        <v>268</v>
      </c>
    </row>
    <row r="36" spans="1:2" x14ac:dyDescent="0.25">
      <c r="B36" s="78" t="s">
        <v>269</v>
      </c>
    </row>
    <row r="37" spans="1:2" x14ac:dyDescent="0.25">
      <c r="B37" s="78" t="s">
        <v>270</v>
      </c>
    </row>
    <row r="39" spans="1:2" x14ac:dyDescent="0.25">
      <c r="A39" s="113" t="s">
        <v>277</v>
      </c>
    </row>
    <row r="40" spans="1:2" x14ac:dyDescent="0.25">
      <c r="A40" s="113" t="s">
        <v>275</v>
      </c>
    </row>
    <row r="42" spans="1:2" x14ac:dyDescent="0.25">
      <c r="A42" s="113" t="s">
        <v>433</v>
      </c>
    </row>
    <row r="43" spans="1:2" x14ac:dyDescent="0.25">
      <c r="A43" s="78" t="s">
        <v>271</v>
      </c>
    </row>
    <row r="44" spans="1:2" x14ac:dyDescent="0.25">
      <c r="A44" s="78" t="s">
        <v>423</v>
      </c>
    </row>
    <row r="45" spans="1:2" x14ac:dyDescent="0.25">
      <c r="A45" s="78" t="s">
        <v>422</v>
      </c>
    </row>
    <row r="46" spans="1:2" x14ac:dyDescent="0.25">
      <c r="A46" s="78" t="s">
        <v>272</v>
      </c>
    </row>
    <row r="48" spans="1:2" x14ac:dyDescent="0.25">
      <c r="A48" s="78" t="s">
        <v>424</v>
      </c>
    </row>
    <row r="49" spans="1:4" x14ac:dyDescent="0.25">
      <c r="A49" s="78" t="s">
        <v>273</v>
      </c>
    </row>
    <row r="50" spans="1:4" x14ac:dyDescent="0.25">
      <c r="A50" s="78" t="s">
        <v>425</v>
      </c>
    </row>
    <row r="51" spans="1:4" x14ac:dyDescent="0.25">
      <c r="A51" s="78" t="s">
        <v>426</v>
      </c>
    </row>
    <row r="52" spans="1:4" x14ac:dyDescent="0.25">
      <c r="A52" s="78" t="s">
        <v>427</v>
      </c>
    </row>
    <row r="53" spans="1:4" x14ac:dyDescent="0.25">
      <c r="A53" s="78" t="s">
        <v>279</v>
      </c>
    </row>
    <row r="54" spans="1:4" x14ac:dyDescent="0.25">
      <c r="A54" s="78" t="s">
        <v>428</v>
      </c>
    </row>
    <row r="55" spans="1:4" x14ac:dyDescent="0.25">
      <c r="A55" s="78" t="s">
        <v>429</v>
      </c>
    </row>
    <row r="57" spans="1:4" x14ac:dyDescent="0.25">
      <c r="A57" s="78" t="s">
        <v>430</v>
      </c>
    </row>
    <row r="58" spans="1:4" x14ac:dyDescent="0.25">
      <c r="A58" s="78" t="s">
        <v>276</v>
      </c>
    </row>
    <row r="59" spans="1:4" x14ac:dyDescent="0.25">
      <c r="A59" s="78" t="s">
        <v>280</v>
      </c>
    </row>
    <row r="60" spans="1:4" x14ac:dyDescent="0.25">
      <c r="A60" s="78" t="s">
        <v>281</v>
      </c>
    </row>
    <row r="62" spans="1:4" x14ac:dyDescent="0.25">
      <c r="A62" s="78" t="s">
        <v>431</v>
      </c>
    </row>
    <row r="63" spans="1:4" x14ac:dyDescent="0.25">
      <c r="A63" s="78" t="s">
        <v>284</v>
      </c>
    </row>
    <row r="64" spans="1:4" x14ac:dyDescent="0.25">
      <c r="D64" s="570"/>
    </row>
    <row r="65" spans="1:10" x14ac:dyDescent="0.25">
      <c r="A65" s="78" t="s">
        <v>434</v>
      </c>
    </row>
    <row r="66" spans="1:10" x14ac:dyDescent="0.25">
      <c r="A66" s="524" t="s">
        <v>285</v>
      </c>
    </row>
    <row r="68" spans="1:10" x14ac:dyDescent="0.25">
      <c r="A68" s="78" t="s">
        <v>435</v>
      </c>
    </row>
    <row r="70" spans="1:10" x14ac:dyDescent="0.25">
      <c r="A70" s="78" t="s">
        <v>436</v>
      </c>
    </row>
    <row r="71" spans="1:10" x14ac:dyDescent="0.25">
      <c r="A71" s="78" t="s">
        <v>437</v>
      </c>
    </row>
    <row r="72" spans="1:10" x14ac:dyDescent="0.25">
      <c r="A72" s="78" t="s">
        <v>438</v>
      </c>
    </row>
    <row r="74" spans="1:10" x14ac:dyDescent="0.25">
      <c r="A74" s="78" t="s">
        <v>439</v>
      </c>
    </row>
    <row r="75" spans="1:10" x14ac:dyDescent="0.25">
      <c r="A75" s="78" t="s">
        <v>316</v>
      </c>
    </row>
    <row r="76" spans="1:10" x14ac:dyDescent="0.25">
      <c r="J76" s="570"/>
    </row>
    <row r="78" spans="1:10" x14ac:dyDescent="0.25">
      <c r="A78" s="78" t="s">
        <v>412</v>
      </c>
    </row>
    <row r="80" spans="1:10" x14ac:dyDescent="0.25">
      <c r="B80" s="571"/>
      <c r="C80" s="571" t="s">
        <v>413</v>
      </c>
    </row>
    <row r="82" spans="1:1" ht="17.399999999999999" x14ac:dyDescent="0.3">
      <c r="A82" s="318" t="s">
        <v>414</v>
      </c>
    </row>
    <row r="84" spans="1:1" x14ac:dyDescent="0.25">
      <c r="A84" s="572">
        <v>45231</v>
      </c>
    </row>
    <row r="85" spans="1:1" ht="17.399999999999999" x14ac:dyDescent="0.3">
      <c r="A85" s="318"/>
    </row>
  </sheetData>
  <sheetProtection algorithmName="SHA-512" hashValue="Q/GXw9HLnVj+9mTS42Yf0BxMo8Bw86j/JRmLTQZ81FczSDOApty8BsnTNuyQXQD3YIwZ5VYRDeUaEnChHQmCcA==" saltValue="5jDePJ74O29vevUF+9dg6A==" spinCount="100000" sheet="1" objects="1" scenarios="1"/>
  <hyperlinks>
    <hyperlink ref="C80" r:id="rId1"/>
  </hyperlinks>
  <pageMargins left="0.7" right="0.7" top="0.78740157499999996" bottom="0.78740157499999996" header="0.3" footer="0.3"/>
  <pageSetup paperSize="9" orientation="portrait" r:id="rId2"/>
  <headerFooter>
    <oddFooter>&amp;L&amp;8erstellt: LVWO Weinsberg&amp;C&amp;8                                                                   &amp;F                                          &amp;D</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98"/>
  <sheetViews>
    <sheetView zoomScale="70" zoomScaleNormal="70" workbookViewId="0">
      <selection activeCell="K13" sqref="K13"/>
    </sheetView>
  </sheetViews>
  <sheetFormatPr baseColWidth="10" defaultRowHeight="13.8" x14ac:dyDescent="0.25"/>
  <cols>
    <col min="1" max="1" width="4.19921875" style="77" customWidth="1"/>
    <col min="2" max="2" width="8.19921875" style="78" customWidth="1"/>
    <col min="3" max="3" width="49.796875" style="79" customWidth="1"/>
    <col min="4" max="12" width="12.19921875" style="79" customWidth="1"/>
    <col min="13" max="13" width="5.09765625" style="79" hidden="1" customWidth="1"/>
    <col min="14" max="14" width="4.19921875" style="77" hidden="1" customWidth="1"/>
    <col min="15" max="15" width="61.296875" style="78" hidden="1" customWidth="1"/>
    <col min="16" max="19" width="12.19921875" style="78" hidden="1" customWidth="1"/>
    <col min="20" max="20" width="5.69921875" style="78" hidden="1" customWidth="1"/>
    <col min="21" max="21" width="4.19921875" style="77" hidden="1" customWidth="1"/>
    <col min="22" max="22" width="61.296875" style="78" hidden="1" customWidth="1"/>
    <col min="23" max="23" width="12.19921875" style="78" hidden="1" customWidth="1"/>
    <col min="24" max="25" width="12.19921875" style="78" customWidth="1"/>
    <col min="26" max="29" width="12.09765625" style="78" customWidth="1"/>
    <col min="30" max="16384" width="11.19921875" style="78"/>
  </cols>
  <sheetData>
    <row r="1" spans="1:20" ht="13.05" customHeight="1" x14ac:dyDescent="0.25"/>
    <row r="2" spans="1:20" ht="33" x14ac:dyDescent="0.6">
      <c r="A2" s="315" t="s">
        <v>310</v>
      </c>
      <c r="E2" s="81"/>
      <c r="F2" s="78"/>
    </row>
    <row r="3" spans="1:20" ht="13.95" customHeight="1" x14ac:dyDescent="0.25"/>
    <row r="4" spans="1:20" ht="13.95" customHeight="1" x14ac:dyDescent="0.25">
      <c r="B4" s="80"/>
      <c r="C4" s="79" t="s">
        <v>141</v>
      </c>
      <c r="E4" s="86"/>
    </row>
    <row r="5" spans="1:20" ht="13.95" customHeight="1" x14ac:dyDescent="0.25">
      <c r="B5" s="82"/>
      <c r="C5" s="79" t="s">
        <v>137</v>
      </c>
    </row>
    <row r="6" spans="1:20" ht="13.95" customHeight="1" x14ac:dyDescent="0.25">
      <c r="B6" s="83"/>
      <c r="C6" s="79" t="s">
        <v>138</v>
      </c>
      <c r="D6" s="87"/>
      <c r="E6" s="87"/>
      <c r="F6" s="87"/>
      <c r="G6" s="87"/>
      <c r="H6" s="87"/>
      <c r="I6" s="87"/>
      <c r="J6" s="87"/>
      <c r="K6" s="87"/>
      <c r="L6" s="88"/>
      <c r="M6" s="88"/>
      <c r="N6" s="89"/>
    </row>
    <row r="7" spans="1:20" ht="13.95" customHeight="1" x14ac:dyDescent="0.25">
      <c r="B7" s="84"/>
      <c r="C7" s="79" t="s">
        <v>139</v>
      </c>
      <c r="D7" s="87"/>
      <c r="E7" s="87"/>
      <c r="F7" s="87"/>
      <c r="G7" s="87"/>
      <c r="H7" s="87"/>
      <c r="I7" s="87"/>
      <c r="J7" s="87"/>
      <c r="K7" s="87"/>
      <c r="L7" s="88"/>
      <c r="M7" s="88"/>
      <c r="N7" s="89"/>
      <c r="P7" s="90"/>
    </row>
    <row r="8" spans="1:20" ht="13.95" customHeight="1" x14ac:dyDescent="0.25">
      <c r="B8" s="85"/>
      <c r="C8" s="88"/>
      <c r="D8" s="88"/>
      <c r="E8" s="88"/>
      <c r="F8" s="88"/>
      <c r="G8" s="88"/>
      <c r="H8" s="88"/>
      <c r="I8" s="88"/>
      <c r="J8" s="88"/>
      <c r="K8" s="88"/>
      <c r="L8" s="88"/>
      <c r="M8" s="88"/>
      <c r="N8" s="89"/>
      <c r="O8" s="91"/>
    </row>
    <row r="9" spans="1:20" ht="27" customHeight="1" x14ac:dyDescent="0.5">
      <c r="B9" s="92" t="s">
        <v>248</v>
      </c>
    </row>
    <row r="10" spans="1:20" ht="13.95" customHeight="1" x14ac:dyDescent="0.25">
      <c r="O10" s="93"/>
    </row>
    <row r="11" spans="1:20" ht="13.95" customHeight="1" thickBot="1" x14ac:dyDescent="0.3">
      <c r="B11" s="85"/>
      <c r="D11" s="94" t="s">
        <v>68</v>
      </c>
      <c r="E11" s="94" t="s">
        <v>69</v>
      </c>
      <c r="F11" s="94" t="s">
        <v>70</v>
      </c>
      <c r="G11" s="94" t="s">
        <v>71</v>
      </c>
      <c r="H11" s="94" t="s">
        <v>3</v>
      </c>
      <c r="I11" s="94" t="s">
        <v>75</v>
      </c>
      <c r="K11" s="86" t="s">
        <v>247</v>
      </c>
      <c r="L11" s="88"/>
    </row>
    <row r="12" spans="1:20" ht="13.95" customHeight="1" thickTop="1" thickBot="1" x14ac:dyDescent="0.3">
      <c r="A12" s="95">
        <v>1</v>
      </c>
      <c r="B12" s="705" t="s">
        <v>164</v>
      </c>
      <c r="C12" s="706"/>
      <c r="D12" s="300">
        <v>300</v>
      </c>
      <c r="E12" s="302">
        <v>300</v>
      </c>
      <c r="F12" s="302">
        <v>300</v>
      </c>
      <c r="G12" s="302">
        <v>300</v>
      </c>
      <c r="H12" s="302">
        <v>300</v>
      </c>
      <c r="I12" s="302">
        <v>300</v>
      </c>
      <c r="J12" s="144"/>
      <c r="K12" s="303">
        <v>0.19</v>
      </c>
      <c r="L12" s="642"/>
      <c r="N12" s="96"/>
      <c r="O12" s="97"/>
      <c r="P12" s="98" t="s">
        <v>68</v>
      </c>
      <c r="Q12" s="98" t="s">
        <v>69</v>
      </c>
      <c r="R12" s="98" t="s">
        <v>70</v>
      </c>
      <c r="S12" s="99" t="s">
        <v>71</v>
      </c>
      <c r="T12" s="100"/>
    </row>
    <row r="13" spans="1:20" ht="13.95" customHeight="1" x14ac:dyDescent="0.25">
      <c r="A13" s="101">
        <v>2</v>
      </c>
      <c r="B13" s="102" t="s">
        <v>36</v>
      </c>
      <c r="C13" s="103"/>
      <c r="D13" s="301">
        <v>300</v>
      </c>
      <c r="E13" s="39">
        <v>300</v>
      </c>
      <c r="F13" s="39">
        <v>150</v>
      </c>
      <c r="G13" s="39">
        <v>300</v>
      </c>
      <c r="H13" s="39">
        <v>300</v>
      </c>
      <c r="I13" s="39">
        <v>300</v>
      </c>
      <c r="J13" s="144"/>
      <c r="K13" s="144"/>
      <c r="L13" s="642"/>
      <c r="N13" s="104">
        <v>135</v>
      </c>
      <c r="O13" s="683" t="s">
        <v>34</v>
      </c>
      <c r="P13" s="7">
        <f>D26/1.15</f>
        <v>2380.9523809523812</v>
      </c>
      <c r="Q13" s="7">
        <f>E26/1.05</f>
        <v>1666.6666666666667</v>
      </c>
      <c r="R13" s="7">
        <f>F26</f>
        <v>3333.3333333333335</v>
      </c>
      <c r="S13" s="3">
        <f>G42</f>
        <v>1252</v>
      </c>
      <c r="T13" s="100"/>
    </row>
    <row r="14" spans="1:20" ht="13.95" customHeight="1" x14ac:dyDescent="0.25">
      <c r="A14" s="101"/>
      <c r="B14" s="105"/>
      <c r="C14" s="106"/>
      <c r="D14" s="643"/>
      <c r="E14" s="257"/>
      <c r="F14" s="257"/>
      <c r="G14" s="257"/>
      <c r="H14" s="257"/>
      <c r="I14" s="257"/>
      <c r="J14" s="144"/>
      <c r="K14" s="144"/>
      <c r="L14" s="144"/>
      <c r="N14" s="104">
        <v>136</v>
      </c>
      <c r="O14" s="107" t="s">
        <v>240</v>
      </c>
      <c r="P14" s="107"/>
      <c r="Q14" s="107"/>
      <c r="R14" s="107"/>
      <c r="S14" s="108">
        <f>G38</f>
        <v>313</v>
      </c>
      <c r="T14" s="100"/>
    </row>
    <row r="15" spans="1:20" ht="13.95" customHeight="1" thickBot="1" x14ac:dyDescent="0.3">
      <c r="A15" s="109">
        <v>3</v>
      </c>
      <c r="B15" s="110" t="s">
        <v>165</v>
      </c>
      <c r="C15" s="111"/>
      <c r="D15" s="644">
        <f>D13/D12</f>
        <v>1</v>
      </c>
      <c r="E15" s="645">
        <f>E13/E12</f>
        <v>1</v>
      </c>
      <c r="F15" s="645">
        <f t="shared" ref="F15:I15" si="0">F13/F12</f>
        <v>0.5</v>
      </c>
      <c r="G15" s="645">
        <f t="shared" si="0"/>
        <v>1</v>
      </c>
      <c r="H15" s="645">
        <f t="shared" si="0"/>
        <v>1</v>
      </c>
      <c r="I15" s="645">
        <f t="shared" si="0"/>
        <v>1</v>
      </c>
      <c r="J15" s="144"/>
      <c r="K15" s="144"/>
      <c r="L15" s="144"/>
      <c r="N15" s="104">
        <v>137</v>
      </c>
      <c r="O15" s="683" t="s">
        <v>35</v>
      </c>
      <c r="P15" s="5">
        <f>P13*D22/100</f>
        <v>100.00000000000001</v>
      </c>
      <c r="Q15" s="5">
        <f>Q13*E22/100</f>
        <v>100</v>
      </c>
      <c r="R15" s="5">
        <f>R13*F22/100</f>
        <v>100</v>
      </c>
      <c r="S15" s="1">
        <f>S14/100*G35</f>
        <v>100.16</v>
      </c>
      <c r="T15" s="100"/>
    </row>
    <row r="16" spans="1:20" x14ac:dyDescent="0.25">
      <c r="D16" s="144"/>
      <c r="E16" s="144"/>
      <c r="F16" s="144"/>
      <c r="G16" s="144"/>
      <c r="H16" s="144"/>
      <c r="I16" s="144"/>
      <c r="J16" s="144"/>
      <c r="K16" s="144"/>
      <c r="L16" s="144"/>
      <c r="N16" s="104">
        <v>138</v>
      </c>
      <c r="O16" s="683" t="s">
        <v>37</v>
      </c>
      <c r="P16" s="5">
        <f>P15*D23/100</f>
        <v>90.000000000000014</v>
      </c>
      <c r="Q16" s="5">
        <f>Q15*E23/100</f>
        <v>90</v>
      </c>
      <c r="R16" s="5">
        <f>R15*F23/100</f>
        <v>90</v>
      </c>
      <c r="S16" s="1">
        <f>S15*G36/100</f>
        <v>90.143999999999991</v>
      </c>
      <c r="T16" s="100"/>
    </row>
    <row r="17" spans="1:26" ht="14.4" thickBot="1" x14ac:dyDescent="0.3">
      <c r="A17" s="112"/>
      <c r="B17" s="113"/>
      <c r="C17" s="114"/>
      <c r="D17" s="94" t="s">
        <v>68</v>
      </c>
      <c r="E17" s="94" t="s">
        <v>69</v>
      </c>
      <c r="F17" s="94" t="s">
        <v>70</v>
      </c>
      <c r="G17" s="94" t="s">
        <v>71</v>
      </c>
      <c r="H17" s="94" t="s">
        <v>3</v>
      </c>
      <c r="I17" s="94" t="s">
        <v>75</v>
      </c>
      <c r="J17" s="94" t="s">
        <v>2</v>
      </c>
      <c r="K17" s="94"/>
      <c r="L17" s="144"/>
      <c r="N17" s="104">
        <v>139</v>
      </c>
      <c r="O17" s="683" t="s">
        <v>236</v>
      </c>
      <c r="P17" s="5">
        <f>P15*(100-D23)/100</f>
        <v>10.000000000000002</v>
      </c>
      <c r="Q17" s="5">
        <f>Q15*(100-E23)/100</f>
        <v>10</v>
      </c>
      <c r="R17" s="5">
        <f>R15*(100-F23)/100</f>
        <v>10</v>
      </c>
      <c r="S17" s="1">
        <f>S15-S16</f>
        <v>10.016000000000005</v>
      </c>
      <c r="T17" s="100"/>
    </row>
    <row r="18" spans="1:26" x14ac:dyDescent="0.25">
      <c r="A18" s="95">
        <v>4</v>
      </c>
      <c r="B18" s="115" t="s">
        <v>239</v>
      </c>
      <c r="C18" s="116"/>
      <c r="D18" s="117">
        <v>100</v>
      </c>
      <c r="E18" s="117">
        <v>100</v>
      </c>
      <c r="F18" s="118">
        <v>100</v>
      </c>
      <c r="G18" s="119"/>
      <c r="H18" s="119"/>
      <c r="I18" s="119"/>
      <c r="J18" s="119"/>
      <c r="K18" s="119"/>
      <c r="L18" s="144"/>
      <c r="N18" s="104">
        <v>140</v>
      </c>
      <c r="O18" s="683" t="s">
        <v>40</v>
      </c>
      <c r="P18" s="6">
        <v>13.03</v>
      </c>
      <c r="Q18" s="6">
        <v>13.03</v>
      </c>
      <c r="R18" s="6">
        <v>13.03</v>
      </c>
      <c r="S18" s="2">
        <v>13.03</v>
      </c>
      <c r="T18" s="100"/>
    </row>
    <row r="19" spans="1:26" x14ac:dyDescent="0.25">
      <c r="A19" s="101">
        <v>5</v>
      </c>
      <c r="B19" s="711" t="s">
        <v>36</v>
      </c>
      <c r="C19" s="712"/>
      <c r="D19" s="71">
        <f>D13</f>
        <v>300</v>
      </c>
      <c r="E19" s="71">
        <f>E13</f>
        <v>300</v>
      </c>
      <c r="F19" s="72">
        <f>F13</f>
        <v>150</v>
      </c>
      <c r="G19" s="119"/>
      <c r="H19" s="119"/>
      <c r="I19" s="119"/>
      <c r="J19" s="119"/>
      <c r="K19" s="120"/>
      <c r="L19" s="144"/>
      <c r="N19" s="104">
        <v>141</v>
      </c>
      <c r="O19" s="683" t="s">
        <v>41</v>
      </c>
      <c r="P19" s="5">
        <f>P16/D24*100</f>
        <v>225.00000000000006</v>
      </c>
      <c r="Q19" s="5">
        <f>Q16/E24*100</f>
        <v>225</v>
      </c>
      <c r="R19" s="5">
        <f>R16/F24*100</f>
        <v>225</v>
      </c>
      <c r="S19" s="1">
        <f>S16/G37*100</f>
        <v>225.35999999999996</v>
      </c>
      <c r="T19" s="100"/>
    </row>
    <row r="20" spans="1:26" x14ac:dyDescent="0.25">
      <c r="A20" s="101">
        <v>6</v>
      </c>
      <c r="B20" s="709" t="s">
        <v>38</v>
      </c>
      <c r="C20" s="710"/>
      <c r="D20" s="40">
        <v>3</v>
      </c>
      <c r="E20" s="40">
        <v>3</v>
      </c>
      <c r="F20" s="39">
        <v>3</v>
      </c>
      <c r="G20" s="119"/>
      <c r="H20" s="119"/>
      <c r="I20" s="119"/>
      <c r="J20" s="119"/>
      <c r="K20" s="119"/>
      <c r="L20" s="144"/>
      <c r="N20" s="104">
        <v>142</v>
      </c>
      <c r="O20" s="683" t="s">
        <v>42</v>
      </c>
      <c r="P20" s="7">
        <f>TRUNC(P19/D134,0)</f>
        <v>450</v>
      </c>
      <c r="Q20" s="7">
        <f>TRUNC(Q19/E134,0)</f>
        <v>450</v>
      </c>
      <c r="R20" s="7">
        <f>TRUNC(R19/F134,0)</f>
        <v>450</v>
      </c>
      <c r="S20" s="3">
        <f>TRUNC(S19/G134,0)</f>
        <v>450</v>
      </c>
      <c r="T20" s="100"/>
    </row>
    <row r="21" spans="1:26" x14ac:dyDescent="0.25">
      <c r="A21" s="101">
        <v>7</v>
      </c>
      <c r="B21" s="709" t="s">
        <v>39</v>
      </c>
      <c r="C21" s="710"/>
      <c r="D21" s="40">
        <v>3</v>
      </c>
      <c r="E21" s="40">
        <v>3</v>
      </c>
      <c r="F21" s="39">
        <v>3</v>
      </c>
      <c r="G21" s="119"/>
      <c r="H21" s="119"/>
      <c r="I21" s="119"/>
      <c r="J21" s="119"/>
      <c r="K21" s="119"/>
      <c r="L21" s="144"/>
      <c r="N21" s="104">
        <v>143</v>
      </c>
      <c r="O21" s="683" t="s">
        <v>44</v>
      </c>
      <c r="P21" s="5">
        <f>P13/D19</f>
        <v>7.9365079365079376</v>
      </c>
      <c r="Q21" s="5">
        <f>Q13/E19</f>
        <v>5.5555555555555562</v>
      </c>
      <c r="R21" s="5">
        <f>R13/F19</f>
        <v>22.222222222222225</v>
      </c>
      <c r="S21" s="1">
        <f>S13/G32</f>
        <v>4.1733333333333329</v>
      </c>
      <c r="T21" s="100"/>
    </row>
    <row r="22" spans="1:26" x14ac:dyDescent="0.25">
      <c r="A22" s="101">
        <v>8</v>
      </c>
      <c r="B22" s="709" t="s">
        <v>235</v>
      </c>
      <c r="C22" s="710"/>
      <c r="D22" s="41">
        <v>4.2</v>
      </c>
      <c r="E22" s="41">
        <v>6</v>
      </c>
      <c r="F22" s="42">
        <v>3</v>
      </c>
      <c r="G22" s="119"/>
      <c r="H22" s="119"/>
      <c r="I22" s="119"/>
      <c r="J22" s="119"/>
      <c r="K22" s="119"/>
      <c r="L22" s="144"/>
      <c r="N22" s="104">
        <v>144</v>
      </c>
      <c r="O22" s="121" t="s">
        <v>46</v>
      </c>
      <c r="P22" s="8">
        <f>D143/(K12+100%)</f>
        <v>16.806722689075631</v>
      </c>
      <c r="Q22" s="8">
        <f>E143/(K12+100%)</f>
        <v>16.806722689075631</v>
      </c>
      <c r="R22" s="8">
        <f>F143/(K12+100%)</f>
        <v>16.806722689075631</v>
      </c>
      <c r="S22" s="8">
        <f>G143/(K12+100%)</f>
        <v>16.806722689075631</v>
      </c>
      <c r="T22" s="100"/>
    </row>
    <row r="23" spans="1:26" x14ac:dyDescent="0.25">
      <c r="A23" s="101">
        <v>9</v>
      </c>
      <c r="B23" s="709" t="s">
        <v>43</v>
      </c>
      <c r="C23" s="710"/>
      <c r="D23" s="43">
        <v>90</v>
      </c>
      <c r="E23" s="43">
        <v>90</v>
      </c>
      <c r="F23" s="44">
        <v>90</v>
      </c>
      <c r="G23" s="119"/>
      <c r="H23" s="119"/>
      <c r="I23" s="119"/>
      <c r="J23" s="119"/>
      <c r="K23" s="119"/>
      <c r="L23" s="144"/>
      <c r="N23" s="123">
        <v>145</v>
      </c>
      <c r="O23" s="121" t="s">
        <v>47</v>
      </c>
      <c r="P23" s="8">
        <f>P22*P20</f>
        <v>7563.0252100840344</v>
      </c>
      <c r="Q23" s="8">
        <f t="shared" ref="Q23:R23" si="1">Q22*Q20</f>
        <v>7563.0252100840344</v>
      </c>
      <c r="R23" s="8">
        <f t="shared" si="1"/>
        <v>7563.0252100840344</v>
      </c>
      <c r="S23" s="4">
        <f>S22*S20</f>
        <v>7563.0252100840344</v>
      </c>
      <c r="T23" s="100"/>
    </row>
    <row r="24" spans="1:26" x14ac:dyDescent="0.25">
      <c r="A24" s="101">
        <v>10</v>
      </c>
      <c r="B24" s="122" t="s">
        <v>45</v>
      </c>
      <c r="C24" s="122"/>
      <c r="D24" s="41">
        <v>40</v>
      </c>
      <c r="E24" s="41">
        <v>40</v>
      </c>
      <c r="F24" s="42">
        <v>40</v>
      </c>
      <c r="G24" s="119"/>
      <c r="H24" s="119"/>
      <c r="I24" s="119"/>
      <c r="J24" s="119"/>
      <c r="K24" s="119"/>
      <c r="L24" s="144"/>
      <c r="N24" s="123">
        <v>146</v>
      </c>
      <c r="O24" s="124" t="s">
        <v>243</v>
      </c>
      <c r="P24" s="27">
        <f>P16*P18</f>
        <v>1172.7</v>
      </c>
      <c r="Q24" s="27">
        <f t="shared" ref="Q24:S24" si="2">Q16*Q18</f>
        <v>1172.7</v>
      </c>
      <c r="R24" s="27">
        <f t="shared" si="2"/>
        <v>1172.7</v>
      </c>
      <c r="S24" s="4">
        <f t="shared" si="2"/>
        <v>1174.5763199999999</v>
      </c>
      <c r="T24" s="16"/>
    </row>
    <row r="25" spans="1:26" ht="14.4" thickBot="1" x14ac:dyDescent="0.3">
      <c r="A25" s="101">
        <v>11</v>
      </c>
      <c r="B25" s="122" t="s">
        <v>565</v>
      </c>
      <c r="C25" s="122"/>
      <c r="D25" s="650">
        <v>12</v>
      </c>
      <c r="E25" s="650">
        <v>35</v>
      </c>
      <c r="F25" s="52">
        <v>0</v>
      </c>
      <c r="G25" s="119"/>
      <c r="H25" s="125"/>
      <c r="I25" s="125"/>
      <c r="J25" s="125"/>
      <c r="K25" s="125"/>
      <c r="L25" s="144"/>
      <c r="N25" s="126"/>
      <c r="O25" s="127"/>
      <c r="P25" s="127"/>
      <c r="Q25" s="127"/>
      <c r="R25" s="127"/>
      <c r="S25" s="128"/>
      <c r="T25" s="129"/>
    </row>
    <row r="26" spans="1:26" ht="15" thickTop="1" thickBot="1" x14ac:dyDescent="0.3">
      <c r="A26" s="101">
        <v>12</v>
      </c>
      <c r="B26" s="122" t="s">
        <v>48</v>
      </c>
      <c r="C26" s="122"/>
      <c r="D26" s="59">
        <f>D18/D22*100*1.15</f>
        <v>2738.0952380952381</v>
      </c>
      <c r="E26" s="59">
        <f>E18/E22*100*1.05</f>
        <v>1750.0000000000002</v>
      </c>
      <c r="F26" s="60">
        <f>F18/F22*100</f>
        <v>3333.3333333333335</v>
      </c>
      <c r="G26" s="119"/>
      <c r="H26" s="130"/>
      <c r="I26" s="130"/>
      <c r="J26" s="130"/>
      <c r="K26" s="130"/>
      <c r="L26" s="144"/>
      <c r="N26" s="131"/>
      <c r="O26" s="132"/>
      <c r="P26" s="132"/>
      <c r="Q26" s="132"/>
      <c r="R26" s="132"/>
      <c r="S26" s="133"/>
      <c r="T26" s="15"/>
    </row>
    <row r="27" spans="1:26" ht="14.4" thickTop="1" x14ac:dyDescent="0.25">
      <c r="A27" s="101">
        <v>13</v>
      </c>
      <c r="B27" s="122" t="s">
        <v>61</v>
      </c>
      <c r="C27" s="122"/>
      <c r="D27" s="45">
        <v>2000</v>
      </c>
      <c r="E27" s="47">
        <v>1000</v>
      </c>
      <c r="F27" s="46">
        <v>1000</v>
      </c>
      <c r="G27" s="119"/>
      <c r="H27" s="134"/>
      <c r="I27" s="134"/>
      <c r="J27" s="134"/>
      <c r="K27" s="134"/>
      <c r="L27" s="144"/>
      <c r="N27" s="104">
        <v>147</v>
      </c>
      <c r="O27" s="136" t="s">
        <v>122</v>
      </c>
      <c r="P27" s="98" t="s">
        <v>68</v>
      </c>
      <c r="Q27" s="98" t="s">
        <v>69</v>
      </c>
      <c r="R27" s="98" t="s">
        <v>70</v>
      </c>
      <c r="S27" s="99" t="s">
        <v>71</v>
      </c>
      <c r="T27" s="9"/>
      <c r="U27" s="137"/>
      <c r="V27" s="138"/>
      <c r="W27" s="119"/>
      <c r="X27" s="119"/>
      <c r="Y27" s="119"/>
      <c r="Z27" s="119"/>
    </row>
    <row r="28" spans="1:26" ht="14.4" thickBot="1" x14ac:dyDescent="0.3">
      <c r="A28" s="139">
        <v>14</v>
      </c>
      <c r="B28" s="140" t="s">
        <v>49</v>
      </c>
      <c r="C28" s="140"/>
      <c r="D28" s="48">
        <v>13.03</v>
      </c>
      <c r="E28" s="49">
        <v>13.03</v>
      </c>
      <c r="F28" s="50">
        <v>13.03</v>
      </c>
      <c r="G28" s="119"/>
      <c r="H28" s="125"/>
      <c r="I28" s="125"/>
      <c r="J28" s="125"/>
      <c r="K28" s="125"/>
      <c r="L28" s="144"/>
      <c r="N28" s="104">
        <v>148</v>
      </c>
      <c r="O28" s="122" t="s">
        <v>95</v>
      </c>
      <c r="P28" s="19">
        <f>D26*D25/100</f>
        <v>328.57142857142856</v>
      </c>
      <c r="Q28" s="19">
        <f>E26*E25/100</f>
        <v>612.50000000000011</v>
      </c>
      <c r="R28" s="19">
        <f>F26*F25/100</f>
        <v>0</v>
      </c>
      <c r="S28" s="34">
        <f>(G39/100*G43)+(G40/100*G44)</f>
        <v>141.75</v>
      </c>
      <c r="T28" s="9"/>
      <c r="U28" s="137"/>
      <c r="V28" s="100"/>
      <c r="W28" s="68"/>
      <c r="X28" s="68"/>
      <c r="Y28" s="68"/>
      <c r="Z28" s="68"/>
    </row>
    <row r="29" spans="1:26" x14ac:dyDescent="0.25">
      <c r="A29" s="685"/>
      <c r="B29" s="141"/>
      <c r="C29" s="142"/>
      <c r="D29" s="143"/>
      <c r="E29" s="143"/>
      <c r="F29" s="143"/>
      <c r="G29" s="144"/>
      <c r="H29" s="144"/>
      <c r="I29" s="144"/>
      <c r="J29" s="144"/>
      <c r="K29" s="144"/>
      <c r="L29" s="144"/>
      <c r="N29" s="104">
        <v>149</v>
      </c>
      <c r="O29" s="122" t="s">
        <v>50</v>
      </c>
      <c r="P29" s="19">
        <f>D128*P15</f>
        <v>40.000000000000007</v>
      </c>
      <c r="Q29" s="19">
        <f>E128*Q15</f>
        <v>40</v>
      </c>
      <c r="R29" s="19">
        <f>F128*R15</f>
        <v>40</v>
      </c>
      <c r="S29" s="34">
        <f>(S15*G128)+(G45*G38/100)</f>
        <v>65.103999999999999</v>
      </c>
      <c r="T29" s="9"/>
      <c r="U29" s="137"/>
      <c r="V29" s="100"/>
      <c r="W29" s="68"/>
      <c r="X29" s="68"/>
      <c r="Y29" s="68"/>
      <c r="Z29" s="68"/>
    </row>
    <row r="30" spans="1:26" ht="14.4" thickBot="1" x14ac:dyDescent="0.3">
      <c r="A30" s="112"/>
      <c r="B30" s="145"/>
      <c r="D30" s="144"/>
      <c r="E30" s="144"/>
      <c r="F30" s="144"/>
      <c r="G30" s="146" t="s">
        <v>71</v>
      </c>
      <c r="H30" s="144"/>
      <c r="I30" s="144"/>
      <c r="J30" s="144"/>
      <c r="K30" s="144"/>
      <c r="L30" s="144"/>
      <c r="N30" s="104">
        <v>150</v>
      </c>
      <c r="O30" s="122" t="s">
        <v>51</v>
      </c>
      <c r="P30" s="19">
        <f>D129*P15</f>
        <v>30.000000000000004</v>
      </c>
      <c r="Q30" s="19">
        <f>E129*Q15</f>
        <v>30</v>
      </c>
      <c r="R30" s="19">
        <f>F129*R15</f>
        <v>30</v>
      </c>
      <c r="S30" s="34">
        <f>(S15*G129)+(G46*G38/100)</f>
        <v>37.872999999999998</v>
      </c>
      <c r="T30" s="9"/>
      <c r="U30" s="137"/>
      <c r="V30" s="100"/>
      <c r="W30" s="68"/>
      <c r="X30" s="68"/>
      <c r="Y30" s="68"/>
      <c r="Z30" s="68"/>
    </row>
    <row r="31" spans="1:26" x14ac:dyDescent="0.25">
      <c r="A31" s="95">
        <v>15</v>
      </c>
      <c r="B31" s="147" t="s">
        <v>239</v>
      </c>
      <c r="C31" s="148"/>
      <c r="D31" s="197"/>
      <c r="E31" s="197"/>
      <c r="F31" s="197"/>
      <c r="G31" s="118">
        <v>100</v>
      </c>
      <c r="H31" s="144"/>
      <c r="I31" s="144"/>
      <c r="J31" s="144"/>
      <c r="K31" s="144"/>
      <c r="L31" s="144"/>
      <c r="N31" s="104">
        <v>151</v>
      </c>
      <c r="O31" s="122" t="s">
        <v>53</v>
      </c>
      <c r="P31" s="19">
        <f>P21/D20*D130</f>
        <v>7.9365079365079385</v>
      </c>
      <c r="Q31" s="19">
        <f>Q21/E20*E130</f>
        <v>5.5555555555555562</v>
      </c>
      <c r="R31" s="19">
        <f>R21/F20*F130</f>
        <v>22.222222222222225</v>
      </c>
      <c r="S31" s="34">
        <f>S21/G33*G130</f>
        <v>4.1733333333333329</v>
      </c>
      <c r="T31" s="9"/>
      <c r="U31" s="137"/>
      <c r="V31" s="100"/>
      <c r="W31" s="68"/>
      <c r="X31" s="68"/>
      <c r="Y31" s="68"/>
      <c r="Z31" s="68"/>
    </row>
    <row r="32" spans="1:26" x14ac:dyDescent="0.25">
      <c r="A32" s="101">
        <v>16</v>
      </c>
      <c r="B32" s="708" t="s">
        <v>36</v>
      </c>
      <c r="C32" s="708"/>
      <c r="D32" s="149"/>
      <c r="E32" s="149"/>
      <c r="F32" s="149"/>
      <c r="G32" s="72">
        <f>G13</f>
        <v>300</v>
      </c>
      <c r="H32" s="144"/>
      <c r="I32" s="144"/>
      <c r="J32" s="144"/>
      <c r="K32" s="144"/>
      <c r="L32" s="144"/>
      <c r="N32" s="104">
        <v>152</v>
      </c>
      <c r="O32" s="122" t="s">
        <v>55</v>
      </c>
      <c r="P32" s="19">
        <f>P21*D131</f>
        <v>63.492063492063501</v>
      </c>
      <c r="Q32" s="19">
        <f>Q21*E131</f>
        <v>44.44444444444445</v>
      </c>
      <c r="R32" s="19">
        <f>R21*F131</f>
        <v>177.7777777777778</v>
      </c>
      <c r="S32" s="34">
        <f>S21*G131</f>
        <v>33.386666666666663</v>
      </c>
      <c r="T32" s="9"/>
      <c r="U32" s="137"/>
      <c r="V32" s="100"/>
      <c r="W32" s="68"/>
      <c r="X32" s="68"/>
      <c r="Y32" s="68"/>
      <c r="Z32" s="68"/>
    </row>
    <row r="33" spans="1:30" x14ac:dyDescent="0.25">
      <c r="A33" s="101">
        <v>17</v>
      </c>
      <c r="B33" s="709" t="s">
        <v>38</v>
      </c>
      <c r="C33" s="710"/>
      <c r="D33" s="150"/>
      <c r="E33" s="150"/>
      <c r="F33" s="150"/>
      <c r="G33" s="39">
        <v>3</v>
      </c>
      <c r="H33" s="144"/>
      <c r="I33" s="144"/>
      <c r="J33" s="144"/>
      <c r="K33" s="144"/>
      <c r="L33" s="144"/>
      <c r="N33" s="104">
        <v>153</v>
      </c>
      <c r="O33" s="122" t="s">
        <v>56</v>
      </c>
      <c r="P33" s="19">
        <f>D132*P13/100</f>
        <v>71.428571428571431</v>
      </c>
      <c r="Q33" s="19">
        <f>E132*Q13/100</f>
        <v>50</v>
      </c>
      <c r="R33" s="19">
        <f>F132*R13/100</f>
        <v>100</v>
      </c>
      <c r="S33" s="34">
        <f>G132*S13/100</f>
        <v>37.56</v>
      </c>
      <c r="T33" s="10"/>
      <c r="U33" s="137"/>
      <c r="V33" s="100"/>
      <c r="W33" s="68"/>
      <c r="X33" s="68"/>
      <c r="Y33" s="68"/>
      <c r="Z33" s="68"/>
    </row>
    <row r="34" spans="1:30" x14ac:dyDescent="0.25">
      <c r="A34" s="101">
        <v>18</v>
      </c>
      <c r="B34" s="709" t="s">
        <v>39</v>
      </c>
      <c r="C34" s="710"/>
      <c r="D34" s="150"/>
      <c r="E34" s="150"/>
      <c r="F34" s="150"/>
      <c r="G34" s="39">
        <v>2</v>
      </c>
      <c r="H34" s="144"/>
      <c r="I34" s="144"/>
      <c r="J34" s="144"/>
      <c r="K34" s="144"/>
      <c r="L34" s="144"/>
      <c r="N34" s="104">
        <v>154</v>
      </c>
      <c r="O34" s="151" t="s">
        <v>57</v>
      </c>
      <c r="P34" s="23">
        <f>P19*D138</f>
        <v>27.000000000000007</v>
      </c>
      <c r="Q34" s="23">
        <f>Q19*E138</f>
        <v>27</v>
      </c>
      <c r="R34" s="23">
        <f>R19*F138</f>
        <v>27</v>
      </c>
      <c r="S34" s="35">
        <f>S19*G138</f>
        <v>27.043199999999995</v>
      </c>
      <c r="T34" s="9"/>
      <c r="U34" s="137"/>
      <c r="V34" s="129"/>
      <c r="W34" s="129"/>
      <c r="X34" s="129"/>
      <c r="Y34" s="129"/>
      <c r="Z34" s="129"/>
    </row>
    <row r="35" spans="1:30" x14ac:dyDescent="0.25">
      <c r="A35" s="101">
        <v>19</v>
      </c>
      <c r="B35" s="707" t="s">
        <v>237</v>
      </c>
      <c r="C35" s="707"/>
      <c r="D35" s="150"/>
      <c r="E35" s="150"/>
      <c r="F35" s="150"/>
      <c r="G35" s="42">
        <v>32</v>
      </c>
      <c r="H35" s="125"/>
      <c r="I35" s="125"/>
      <c r="J35" s="125"/>
      <c r="K35" s="125"/>
      <c r="L35" s="144"/>
      <c r="N35" s="104">
        <v>155</v>
      </c>
      <c r="O35" s="122" t="s">
        <v>60</v>
      </c>
      <c r="P35" s="19">
        <f>(D135+D136+D137)*P20</f>
        <v>540</v>
      </c>
      <c r="Q35" s="19">
        <f>(E135+E136+E137)*Q20</f>
        <v>540</v>
      </c>
      <c r="R35" s="19">
        <f>(F135+F136+F137)*R20</f>
        <v>540</v>
      </c>
      <c r="S35" s="34">
        <f>(G135+G136+G137)*S20</f>
        <v>540</v>
      </c>
      <c r="T35" s="9"/>
      <c r="U35" s="137"/>
      <c r="V35" s="100"/>
      <c r="W35" s="69"/>
      <c r="X35" s="69"/>
      <c r="Y35" s="69"/>
      <c r="Z35" s="69"/>
    </row>
    <row r="36" spans="1:30" x14ac:dyDescent="0.25">
      <c r="A36" s="101">
        <v>20</v>
      </c>
      <c r="B36" s="707" t="s">
        <v>440</v>
      </c>
      <c r="C36" s="707"/>
      <c r="D36" s="150"/>
      <c r="E36" s="150"/>
      <c r="F36" s="150"/>
      <c r="G36" s="44">
        <v>90</v>
      </c>
      <c r="H36" s="144"/>
      <c r="I36" s="125"/>
      <c r="J36" s="125"/>
      <c r="K36" s="125"/>
      <c r="L36" s="144"/>
      <c r="N36" s="155">
        <v>156</v>
      </c>
      <c r="O36" s="152" t="s">
        <v>243</v>
      </c>
      <c r="P36" s="153">
        <f>P24</f>
        <v>1172.7</v>
      </c>
      <c r="Q36" s="153">
        <f t="shared" ref="Q36:S36" si="3">Q24</f>
        <v>1172.7</v>
      </c>
      <c r="R36" s="153">
        <f t="shared" si="3"/>
        <v>1172.7</v>
      </c>
      <c r="S36" s="154">
        <f t="shared" si="3"/>
        <v>1174.5763199999999</v>
      </c>
      <c r="T36" s="11"/>
      <c r="U36" s="137"/>
      <c r="V36" s="129"/>
      <c r="W36" s="129"/>
      <c r="X36" s="129"/>
      <c r="Y36" s="129"/>
      <c r="Z36" s="129"/>
    </row>
    <row r="37" spans="1:30" x14ac:dyDescent="0.25">
      <c r="A37" s="101">
        <v>21</v>
      </c>
      <c r="B37" s="122" t="s">
        <v>45</v>
      </c>
      <c r="C37" s="122"/>
      <c r="D37" s="150"/>
      <c r="E37" s="150"/>
      <c r="F37" s="150"/>
      <c r="G37" s="304">
        <v>40</v>
      </c>
      <c r="H37" s="144"/>
      <c r="I37" s="125"/>
      <c r="J37" s="125"/>
      <c r="K37" s="125"/>
      <c r="L37" s="144"/>
      <c r="N37" s="155">
        <v>157</v>
      </c>
      <c r="O37" s="156" t="s">
        <v>241</v>
      </c>
      <c r="P37" s="18">
        <f>SUM(P28:P36)</f>
        <v>2281.1285714285714</v>
      </c>
      <c r="Q37" s="18">
        <f>SUM(Q28:Q36)</f>
        <v>2522.1999999999998</v>
      </c>
      <c r="R37" s="18">
        <f>SUM(R28:R36)</f>
        <v>2109.6999999999998</v>
      </c>
      <c r="S37" s="73">
        <f>SUM(S28:S36)</f>
        <v>2061.4665199999999</v>
      </c>
      <c r="T37" s="12"/>
      <c r="U37" s="137"/>
      <c r="V37" s="129"/>
      <c r="W37" s="129"/>
      <c r="X37" s="129"/>
      <c r="Y37" s="129"/>
      <c r="Z37" s="129"/>
    </row>
    <row r="38" spans="1:30" x14ac:dyDescent="0.25">
      <c r="A38" s="101">
        <v>22</v>
      </c>
      <c r="B38" s="121" t="s">
        <v>83</v>
      </c>
      <c r="C38" s="121"/>
      <c r="D38" s="150"/>
      <c r="E38" s="150"/>
      <c r="F38" s="150"/>
      <c r="G38" s="61">
        <f>ROUND(G31/G35*100,0)</f>
        <v>313</v>
      </c>
      <c r="H38" s="144"/>
      <c r="I38" s="125"/>
      <c r="J38" s="125"/>
      <c r="K38" s="125"/>
      <c r="L38" s="144"/>
      <c r="N38" s="157"/>
      <c r="O38" s="145"/>
      <c r="P38" s="158"/>
      <c r="Q38" s="158"/>
      <c r="R38" s="158"/>
      <c r="S38" s="159"/>
      <c r="T38" s="11"/>
      <c r="U38" s="137"/>
      <c r="V38" s="129"/>
      <c r="W38" s="129"/>
      <c r="X38" s="129"/>
      <c r="Y38" s="129"/>
      <c r="Z38" s="129"/>
    </row>
    <row r="39" spans="1:30" x14ac:dyDescent="0.25">
      <c r="A39" s="101">
        <v>23</v>
      </c>
      <c r="B39" s="122" t="s">
        <v>476</v>
      </c>
      <c r="C39" s="683"/>
      <c r="D39" s="150"/>
      <c r="E39" s="150"/>
      <c r="F39" s="150"/>
      <c r="G39" s="305">
        <v>310</v>
      </c>
      <c r="H39" s="144"/>
      <c r="I39" s="125"/>
      <c r="J39" s="144"/>
      <c r="K39" s="125"/>
      <c r="L39" s="144"/>
      <c r="N39" s="104">
        <v>158</v>
      </c>
      <c r="O39" s="160" t="s">
        <v>65</v>
      </c>
      <c r="P39" s="18">
        <f>P23</f>
        <v>7563.0252100840344</v>
      </c>
      <c r="Q39" s="18">
        <f>Q23</f>
        <v>7563.0252100840344</v>
      </c>
      <c r="R39" s="18">
        <f>R23</f>
        <v>7563.0252100840344</v>
      </c>
      <c r="S39" s="26">
        <f>S23</f>
        <v>7563.0252100840344</v>
      </c>
      <c r="T39" s="129"/>
      <c r="U39" s="137"/>
      <c r="V39" s="161"/>
      <c r="W39" s="70"/>
      <c r="X39" s="70"/>
      <c r="Y39" s="70"/>
      <c r="Z39" s="70"/>
    </row>
    <row r="40" spans="1:30" x14ac:dyDescent="0.25">
      <c r="A40" s="101">
        <v>24</v>
      </c>
      <c r="B40" s="107" t="s">
        <v>477</v>
      </c>
      <c r="C40" s="683"/>
      <c r="D40" s="150"/>
      <c r="E40" s="150"/>
      <c r="F40" s="150"/>
      <c r="G40" s="305">
        <v>3</v>
      </c>
      <c r="H40" s="125" t="str">
        <f>IF((G39+G40=G38),"OK","FEHLER")</f>
        <v>OK</v>
      </c>
      <c r="I40" s="125"/>
      <c r="J40" s="125"/>
      <c r="K40" s="125"/>
      <c r="L40" s="144"/>
      <c r="N40" s="104">
        <v>159</v>
      </c>
      <c r="O40" s="162" t="s">
        <v>66</v>
      </c>
      <c r="P40" s="19">
        <f>-P37</f>
        <v>-2281.1285714285714</v>
      </c>
      <c r="Q40" s="19">
        <f>-Q37</f>
        <v>-2522.1999999999998</v>
      </c>
      <c r="R40" s="19">
        <f>-R37</f>
        <v>-2109.6999999999998</v>
      </c>
      <c r="S40" s="34">
        <f>-S37</f>
        <v>-2061.4665199999999</v>
      </c>
      <c r="T40" s="9"/>
      <c r="U40" s="137"/>
      <c r="V40" s="129"/>
      <c r="W40" s="129"/>
      <c r="X40" s="129"/>
      <c r="Y40" s="129"/>
      <c r="Z40" s="129"/>
      <c r="AD40" s="90"/>
    </row>
    <row r="41" spans="1:30" x14ac:dyDescent="0.25">
      <c r="A41" s="101">
        <v>25</v>
      </c>
      <c r="B41" s="107" t="s">
        <v>238</v>
      </c>
      <c r="C41" s="683"/>
      <c r="D41" s="150"/>
      <c r="E41" s="150"/>
      <c r="F41" s="150"/>
      <c r="G41" s="39">
        <v>400</v>
      </c>
      <c r="H41" s="144"/>
      <c r="I41" s="144"/>
      <c r="J41" s="144"/>
      <c r="K41" s="144"/>
      <c r="L41" s="144"/>
      <c r="N41" s="104">
        <v>160</v>
      </c>
      <c r="O41" s="160" t="s">
        <v>168</v>
      </c>
      <c r="P41" s="18">
        <f>SUM(P39:P40)</f>
        <v>5281.896638655463</v>
      </c>
      <c r="Q41" s="18">
        <f t="shared" ref="Q41:R41" si="4">SUM(Q39:Q40)</f>
        <v>5040.8252100840346</v>
      </c>
      <c r="R41" s="18">
        <f t="shared" si="4"/>
        <v>5453.3252100840346</v>
      </c>
      <c r="S41" s="26">
        <f>SUM(S39:S40)</f>
        <v>5501.5586900840344</v>
      </c>
      <c r="T41" s="12"/>
      <c r="U41" s="137"/>
      <c r="V41" s="138"/>
      <c r="W41" s="70"/>
      <c r="X41" s="70"/>
      <c r="Y41" s="70"/>
      <c r="Z41" s="70"/>
    </row>
    <row r="42" spans="1:30" x14ac:dyDescent="0.25">
      <c r="A42" s="101">
        <v>26</v>
      </c>
      <c r="B42" s="719" t="s">
        <v>34</v>
      </c>
      <c r="C42" s="720"/>
      <c r="D42" s="150"/>
      <c r="E42" s="150"/>
      <c r="F42" s="150"/>
      <c r="G42" s="60">
        <f>G41*(G38/100)</f>
        <v>1252</v>
      </c>
      <c r="H42" s="144"/>
      <c r="I42" s="144"/>
      <c r="J42" s="144"/>
      <c r="K42" s="144"/>
      <c r="L42" s="144"/>
      <c r="N42" s="104">
        <v>161</v>
      </c>
      <c r="O42" s="163" t="s">
        <v>67</v>
      </c>
      <c r="P42" s="37">
        <f>(D26/D27)+((P13/D19)*D21)+((P20*D140)/60)+((P20*D141)/60)+D139</f>
        <v>124.67857142857143</v>
      </c>
      <c r="Q42" s="37">
        <f>(E26/E27)+((Q13/E19)*E21)+((Q20*E140)/60)+((Q20*E141)/60)+E139</f>
        <v>117.91666666666667</v>
      </c>
      <c r="R42" s="37">
        <f>(F26/F27)+((R13/F19)*F21)+((R20*F140)/60)+((R20*F141)/60)+F139</f>
        <v>169.5</v>
      </c>
      <c r="S42" s="38">
        <f>((G38/100)*G48)+((S13/G32)*G34)+((S20*G140)/60)+((S20*G141)/60)+G139</f>
        <v>112.54166666666666</v>
      </c>
      <c r="T42" s="11"/>
      <c r="U42" s="137"/>
      <c r="V42" s="129"/>
      <c r="W42" s="68"/>
      <c r="X42" s="68"/>
      <c r="Y42" s="68"/>
      <c r="Z42" s="68"/>
    </row>
    <row r="43" spans="1:30" ht="14.4" customHeight="1" x14ac:dyDescent="0.25">
      <c r="A43" s="101">
        <v>27</v>
      </c>
      <c r="B43" s="717" t="s">
        <v>84</v>
      </c>
      <c r="C43" s="718"/>
      <c r="D43" s="150"/>
      <c r="E43" s="150"/>
      <c r="F43" s="150"/>
      <c r="G43" s="648">
        <v>45</v>
      </c>
      <c r="H43" s="125"/>
      <c r="I43" s="125"/>
      <c r="J43" s="125"/>
      <c r="K43" s="125"/>
      <c r="L43" s="144"/>
      <c r="N43" s="164">
        <v>162</v>
      </c>
      <c r="O43" s="165" t="s">
        <v>125</v>
      </c>
      <c r="P43" s="166">
        <f>P37/P15</f>
        <v>22.81128571428571</v>
      </c>
      <c r="Q43" s="166">
        <f>Q37/Q15</f>
        <v>25.221999999999998</v>
      </c>
      <c r="R43" s="166">
        <f>R37/R15</f>
        <v>21.096999999999998</v>
      </c>
      <c r="S43" s="167">
        <f>S37/S15</f>
        <v>20.581734424920128</v>
      </c>
      <c r="T43" s="13"/>
      <c r="U43" s="137"/>
      <c r="V43" s="168"/>
      <c r="W43" s="70"/>
      <c r="X43" s="70"/>
      <c r="Y43" s="70"/>
      <c r="Z43" s="70"/>
    </row>
    <row r="44" spans="1:30" x14ac:dyDescent="0.25">
      <c r="A44" s="101">
        <v>28</v>
      </c>
      <c r="B44" s="717" t="s">
        <v>85</v>
      </c>
      <c r="C44" s="718"/>
      <c r="D44" s="150"/>
      <c r="E44" s="150"/>
      <c r="F44" s="150"/>
      <c r="G44" s="648">
        <v>75</v>
      </c>
      <c r="H44" s="125"/>
      <c r="I44" s="169"/>
      <c r="J44" s="125"/>
      <c r="K44" s="125"/>
      <c r="L44" s="144"/>
      <c r="N44" s="164">
        <v>163</v>
      </c>
      <c r="O44" s="165" t="s">
        <v>166</v>
      </c>
      <c r="P44" s="170">
        <f>P39/P15</f>
        <v>75.630252100840337</v>
      </c>
      <c r="Q44" s="170">
        <f>Q39/Q15</f>
        <v>75.630252100840337</v>
      </c>
      <c r="R44" s="170">
        <f>R39/R15</f>
        <v>75.630252100840337</v>
      </c>
      <c r="S44" s="171">
        <f>S39/S15</f>
        <v>75.509437001637721</v>
      </c>
      <c r="T44" s="129"/>
      <c r="U44" s="137"/>
      <c r="V44" s="172"/>
      <c r="W44" s="13"/>
      <c r="X44" s="13"/>
      <c r="Y44" s="13"/>
      <c r="Z44" s="13"/>
    </row>
    <row r="45" spans="1:30" ht="15" customHeight="1" x14ac:dyDescent="0.25">
      <c r="A45" s="101">
        <v>29</v>
      </c>
      <c r="B45" s="719" t="s">
        <v>478</v>
      </c>
      <c r="C45" s="720"/>
      <c r="D45" s="150"/>
      <c r="E45" s="150"/>
      <c r="F45" s="150"/>
      <c r="G45" s="648">
        <v>8</v>
      </c>
      <c r="H45" s="125"/>
      <c r="I45" s="125"/>
      <c r="J45" s="125"/>
      <c r="K45" s="125"/>
      <c r="L45" s="144"/>
      <c r="N45" s="164">
        <v>164</v>
      </c>
      <c r="O45" s="165" t="s">
        <v>118</v>
      </c>
      <c r="P45" s="173">
        <f>P42/P15</f>
        <v>1.2467857142857142</v>
      </c>
      <c r="Q45" s="173">
        <f>Q42/Q15</f>
        <v>1.1791666666666667</v>
      </c>
      <c r="R45" s="173">
        <f>R42/R15</f>
        <v>1.6950000000000001</v>
      </c>
      <c r="S45" s="174">
        <f>S42/S15</f>
        <v>1.1236188764643238</v>
      </c>
      <c r="U45" s="137"/>
      <c r="V45" s="168"/>
      <c r="W45" s="175"/>
      <c r="X45" s="175"/>
      <c r="Y45" s="175"/>
      <c r="Z45" s="175"/>
    </row>
    <row r="46" spans="1:30" x14ac:dyDescent="0.25">
      <c r="A46" s="101">
        <v>30</v>
      </c>
      <c r="B46" s="719" t="s">
        <v>479</v>
      </c>
      <c r="C46" s="720"/>
      <c r="D46" s="150"/>
      <c r="E46" s="150"/>
      <c r="F46" s="150"/>
      <c r="G46" s="648">
        <v>2.5</v>
      </c>
      <c r="H46" s="125"/>
      <c r="I46" s="125"/>
      <c r="J46" s="125"/>
      <c r="K46" s="125"/>
      <c r="L46" s="144"/>
      <c r="N46" s="104">
        <v>165</v>
      </c>
      <c r="O46" s="176" t="s">
        <v>170</v>
      </c>
      <c r="P46" s="177">
        <f>P41/P15</f>
        <v>52.818966386554621</v>
      </c>
      <c r="Q46" s="177">
        <f t="shared" ref="Q46:S46" si="5">Q41/Q15</f>
        <v>50.408252100840343</v>
      </c>
      <c r="R46" s="177">
        <f t="shared" si="5"/>
        <v>54.533252100840343</v>
      </c>
      <c r="S46" s="177">
        <f t="shared" si="5"/>
        <v>54.9277025767176</v>
      </c>
      <c r="U46" s="137"/>
      <c r="V46" s="168"/>
      <c r="W46" s="178"/>
      <c r="X46" s="178"/>
      <c r="Y46" s="178"/>
      <c r="Z46" s="178"/>
    </row>
    <row r="47" spans="1:30" ht="14.4" thickBot="1" x14ac:dyDescent="0.3">
      <c r="A47" s="101">
        <v>31</v>
      </c>
      <c r="B47" s="122" t="s">
        <v>49</v>
      </c>
      <c r="C47" s="122"/>
      <c r="D47" s="179"/>
      <c r="E47" s="150"/>
      <c r="F47" s="150"/>
      <c r="G47" s="39">
        <v>13.03</v>
      </c>
      <c r="H47" s="125"/>
      <c r="I47" s="125"/>
      <c r="J47" s="125"/>
      <c r="K47" s="125"/>
      <c r="L47" s="144"/>
      <c r="N47" s="180">
        <v>166</v>
      </c>
      <c r="O47" s="181" t="s">
        <v>167</v>
      </c>
      <c r="P47" s="182">
        <f>P41/P42</f>
        <v>42.364109390533649</v>
      </c>
      <c r="Q47" s="182">
        <f>Q41/Q42</f>
        <v>42.74904771802715</v>
      </c>
      <c r="R47" s="182">
        <f>R41/R42</f>
        <v>32.173010088991354</v>
      </c>
      <c r="S47" s="183">
        <f>S41/S42</f>
        <v>48.884638490195051</v>
      </c>
      <c r="U47" s="76"/>
      <c r="V47" s="168"/>
      <c r="W47" s="184"/>
      <c r="X47" s="184"/>
      <c r="Y47" s="184"/>
      <c r="Z47" s="184"/>
    </row>
    <row r="48" spans="1:30" ht="15" thickTop="1" thickBot="1" x14ac:dyDescent="0.3">
      <c r="A48" s="109">
        <v>32</v>
      </c>
      <c r="B48" s="121" t="s">
        <v>566</v>
      </c>
      <c r="C48" s="185"/>
      <c r="D48" s="186"/>
      <c r="E48" s="186"/>
      <c r="F48" s="186"/>
      <c r="G48" s="50">
        <v>1.5</v>
      </c>
      <c r="H48" s="144"/>
      <c r="I48" s="144"/>
      <c r="J48" s="144"/>
      <c r="K48" s="144"/>
      <c r="L48" s="144"/>
      <c r="U48" s="137"/>
      <c r="V48" s="168"/>
      <c r="W48" s="187"/>
      <c r="X48" s="187"/>
      <c r="Y48" s="187"/>
      <c r="Z48" s="187"/>
    </row>
    <row r="49" spans="1:26" x14ac:dyDescent="0.25">
      <c r="A49" s="112"/>
      <c r="B49" s="141"/>
      <c r="C49" s="142"/>
      <c r="D49" s="188"/>
      <c r="E49" s="188"/>
      <c r="F49" s="188"/>
      <c r="G49" s="143"/>
      <c r="H49" s="144"/>
      <c r="I49" s="144"/>
      <c r="J49" s="144"/>
      <c r="K49" s="144"/>
      <c r="L49" s="144"/>
      <c r="U49" s="137"/>
      <c r="V49" s="168"/>
      <c r="W49" s="189"/>
      <c r="X49" s="189"/>
      <c r="Y49" s="189"/>
      <c r="Z49" s="189"/>
    </row>
    <row r="50" spans="1:26" ht="14.4" thickBot="1" x14ac:dyDescent="0.3">
      <c r="D50" s="144"/>
      <c r="E50" s="144"/>
      <c r="F50" s="144"/>
      <c r="G50" s="144"/>
      <c r="H50" s="144"/>
      <c r="I50" s="144"/>
      <c r="J50" s="144"/>
      <c r="K50" s="144"/>
      <c r="L50" s="144"/>
    </row>
    <row r="51" spans="1:26" ht="15" thickTop="1" thickBot="1" x14ac:dyDescent="0.3">
      <c r="A51" s="190"/>
      <c r="B51" s="191"/>
      <c r="C51" s="192"/>
      <c r="D51" s="193"/>
      <c r="E51" s="193"/>
      <c r="F51" s="193"/>
      <c r="G51" s="193"/>
      <c r="H51" s="193"/>
      <c r="I51" s="193"/>
      <c r="J51" s="193"/>
      <c r="K51" s="193"/>
      <c r="L51" s="193"/>
    </row>
    <row r="52" spans="1:26" ht="15" thickTop="1" thickBot="1" x14ac:dyDescent="0.3">
      <c r="B52" s="113" t="s">
        <v>96</v>
      </c>
      <c r="D52" s="144"/>
      <c r="E52" s="144"/>
      <c r="F52" s="144"/>
      <c r="G52" s="144"/>
      <c r="H52" s="146" t="s">
        <v>3</v>
      </c>
      <c r="I52" s="144"/>
      <c r="J52" s="144"/>
      <c r="K52" s="144"/>
      <c r="L52" s="144"/>
      <c r="N52" s="96"/>
      <c r="O52" s="97"/>
      <c r="P52" s="97" t="s">
        <v>105</v>
      </c>
      <c r="Q52" s="194" t="s">
        <v>75</v>
      </c>
      <c r="S52" s="78" t="s">
        <v>86</v>
      </c>
      <c r="U52" s="96"/>
      <c r="V52" s="195" t="s">
        <v>123</v>
      </c>
      <c r="W52" s="194" t="s">
        <v>117</v>
      </c>
    </row>
    <row r="53" spans="1:26" x14ac:dyDescent="0.25">
      <c r="A53" s="95">
        <v>33</v>
      </c>
      <c r="B53" s="721" t="s">
        <v>576</v>
      </c>
      <c r="C53" s="722"/>
      <c r="D53" s="196"/>
      <c r="E53" s="197"/>
      <c r="F53" s="197"/>
      <c r="G53" s="197"/>
      <c r="H53" s="57">
        <f>H13</f>
        <v>300</v>
      </c>
      <c r="I53" s="144"/>
      <c r="J53" s="144"/>
      <c r="K53" s="144"/>
      <c r="L53" s="144"/>
      <c r="N53" s="104">
        <v>167</v>
      </c>
      <c r="O53" s="198" t="s">
        <v>106</v>
      </c>
      <c r="P53" s="199">
        <v>100</v>
      </c>
      <c r="Q53" s="200">
        <v>100</v>
      </c>
      <c r="U53" s="135">
        <v>226</v>
      </c>
      <c r="V53" s="201" t="s">
        <v>107</v>
      </c>
      <c r="W53" s="58">
        <f>J83</f>
        <v>100</v>
      </c>
    </row>
    <row r="54" spans="1:26" x14ac:dyDescent="0.25">
      <c r="A54" s="101">
        <v>34</v>
      </c>
      <c r="B54" s="709" t="s">
        <v>38</v>
      </c>
      <c r="C54" s="710"/>
      <c r="D54" s="179"/>
      <c r="E54" s="150"/>
      <c r="F54" s="150"/>
      <c r="G54" s="150"/>
      <c r="H54" s="39">
        <v>2</v>
      </c>
      <c r="I54" s="125"/>
      <c r="J54" s="125"/>
      <c r="K54" s="125"/>
      <c r="L54" s="144"/>
      <c r="N54" s="104">
        <v>168</v>
      </c>
      <c r="O54" s="162" t="s">
        <v>76</v>
      </c>
      <c r="P54" s="21">
        <f>H65</f>
        <v>600.43243243243239</v>
      </c>
      <c r="Q54" s="17">
        <f>I79</f>
        <v>300</v>
      </c>
      <c r="S54" s="78">
        <v>0.1</v>
      </c>
      <c r="U54" s="104">
        <v>227</v>
      </c>
      <c r="V54" s="683" t="s">
        <v>108</v>
      </c>
      <c r="W54" s="3">
        <f>W53/J134</f>
        <v>200</v>
      </c>
    </row>
    <row r="55" spans="1:26" x14ac:dyDescent="0.25">
      <c r="A55" s="101">
        <v>35</v>
      </c>
      <c r="B55" s="709" t="s">
        <v>39</v>
      </c>
      <c r="C55" s="710"/>
      <c r="D55" s="179"/>
      <c r="E55" s="150"/>
      <c r="F55" s="150"/>
      <c r="G55" s="150"/>
      <c r="H55" s="39">
        <v>5</v>
      </c>
      <c r="I55" s="125"/>
      <c r="J55" s="125"/>
      <c r="K55" s="125"/>
      <c r="L55" s="144"/>
      <c r="N55" s="104">
        <v>169</v>
      </c>
      <c r="O55" s="162" t="s">
        <v>97</v>
      </c>
      <c r="P55" s="22">
        <f>H57</f>
        <v>108.1081081081081</v>
      </c>
      <c r="Q55" s="14">
        <f>I72</f>
        <v>108.1081081081081</v>
      </c>
      <c r="S55" s="78">
        <v>0.2</v>
      </c>
      <c r="U55" s="104">
        <v>228</v>
      </c>
      <c r="V55" s="151" t="s">
        <v>104</v>
      </c>
      <c r="W55" s="4">
        <f>J143/(K12+100%)</f>
        <v>16.806722689075631</v>
      </c>
    </row>
    <row r="56" spans="1:26" x14ac:dyDescent="0.25">
      <c r="A56" s="101">
        <v>36</v>
      </c>
      <c r="B56" s="121" t="s">
        <v>567</v>
      </c>
      <c r="C56" s="683"/>
      <c r="D56" s="150"/>
      <c r="E56" s="150"/>
      <c r="F56" s="150"/>
      <c r="G56" s="150"/>
      <c r="H56" s="648">
        <v>14.48</v>
      </c>
      <c r="I56" s="125"/>
      <c r="J56" s="125"/>
      <c r="K56" s="125"/>
      <c r="L56" s="144"/>
      <c r="N56" s="104">
        <v>170</v>
      </c>
      <c r="O56" s="122" t="s">
        <v>37</v>
      </c>
      <c r="P56" s="5">
        <f>P53</f>
        <v>100</v>
      </c>
      <c r="Q56" s="202">
        <f>Q53</f>
        <v>100</v>
      </c>
      <c r="S56" s="78">
        <v>0.35</v>
      </c>
      <c r="U56" s="123">
        <v>229</v>
      </c>
      <c r="V56" s="203" t="s">
        <v>47</v>
      </c>
      <c r="W56" s="204">
        <f>W54*W55</f>
        <v>3361.3445378151264</v>
      </c>
    </row>
    <row r="57" spans="1:26" x14ac:dyDescent="0.25">
      <c r="A57" s="101">
        <v>37</v>
      </c>
      <c r="B57" s="151" t="s">
        <v>88</v>
      </c>
      <c r="C57" s="122"/>
      <c r="D57" s="150"/>
      <c r="E57" s="150"/>
      <c r="F57" s="150"/>
      <c r="G57" s="150"/>
      <c r="H57" s="62">
        <f>P53/H58</f>
        <v>108.1081081081081</v>
      </c>
      <c r="I57" s="125"/>
      <c r="J57" s="125"/>
      <c r="K57" s="125"/>
      <c r="L57" s="144"/>
      <c r="N57" s="104">
        <v>171</v>
      </c>
      <c r="O57" s="122" t="s">
        <v>90</v>
      </c>
      <c r="P57" s="22">
        <f>H59</f>
        <v>1.3</v>
      </c>
      <c r="Q57" s="14">
        <f>I74</f>
        <v>1.3</v>
      </c>
      <c r="S57" s="78">
        <v>0.5</v>
      </c>
      <c r="U57" s="155"/>
      <c r="V57" s="205"/>
      <c r="W57" s="206"/>
    </row>
    <row r="58" spans="1:26" x14ac:dyDescent="0.25">
      <c r="A58" s="101">
        <v>38</v>
      </c>
      <c r="B58" s="151" t="s">
        <v>89</v>
      </c>
      <c r="C58" s="122"/>
      <c r="D58" s="150"/>
      <c r="E58" s="150"/>
      <c r="F58" s="150"/>
      <c r="G58" s="150"/>
      <c r="H58" s="51">
        <v>0.92500000000000004</v>
      </c>
      <c r="I58" s="125"/>
      <c r="J58" s="125"/>
      <c r="K58" s="125"/>
      <c r="L58" s="144"/>
      <c r="N58" s="104">
        <v>172</v>
      </c>
      <c r="O58" s="122" t="s">
        <v>98</v>
      </c>
      <c r="P58" s="5">
        <f>P55-P56-P57</f>
        <v>6.8081081081080983</v>
      </c>
      <c r="Q58" s="1">
        <f>Q55-Q56-Q57</f>
        <v>6.8081081081080983</v>
      </c>
      <c r="S58" s="78">
        <v>0.7</v>
      </c>
      <c r="U58" s="155"/>
      <c r="V58" s="205"/>
      <c r="W58" s="206"/>
    </row>
    <row r="59" spans="1:26" x14ac:dyDescent="0.25">
      <c r="A59" s="101">
        <v>39</v>
      </c>
      <c r="B59" s="151" t="s">
        <v>90</v>
      </c>
      <c r="C59" s="122"/>
      <c r="D59" s="150"/>
      <c r="E59" s="150"/>
      <c r="F59" s="150"/>
      <c r="G59" s="150"/>
      <c r="H59" s="42">
        <v>1.3</v>
      </c>
      <c r="I59" s="125"/>
      <c r="J59" s="125"/>
      <c r="K59" s="125"/>
      <c r="L59" s="144"/>
      <c r="N59" s="104">
        <v>173</v>
      </c>
      <c r="O59" s="151" t="s">
        <v>99</v>
      </c>
      <c r="P59" s="23">
        <f>H57*H56</f>
        <v>1565.4054054054054</v>
      </c>
      <c r="Q59" s="207">
        <f>Q55*I71</f>
        <v>1565.4054054054054</v>
      </c>
      <c r="S59" s="78">
        <v>1</v>
      </c>
      <c r="U59" s="155"/>
      <c r="V59" s="205"/>
      <c r="W59" s="206"/>
    </row>
    <row r="60" spans="1:26" x14ac:dyDescent="0.25">
      <c r="A60" s="101">
        <v>40</v>
      </c>
      <c r="B60" s="151" t="s">
        <v>441</v>
      </c>
      <c r="C60" s="122"/>
      <c r="D60" s="150"/>
      <c r="E60" s="150"/>
      <c r="F60" s="150"/>
      <c r="G60" s="150"/>
      <c r="H60" s="42">
        <v>40</v>
      </c>
      <c r="I60" s="125"/>
      <c r="J60" s="125"/>
      <c r="K60" s="125"/>
      <c r="L60" s="144"/>
      <c r="N60" s="104">
        <v>174</v>
      </c>
      <c r="O60" s="122" t="s">
        <v>41</v>
      </c>
      <c r="P60" s="5">
        <f>P56/H60*100</f>
        <v>250</v>
      </c>
      <c r="Q60" s="1">
        <f>Q53/I75*100</f>
        <v>250</v>
      </c>
      <c r="U60" s="155"/>
      <c r="V60" s="205"/>
      <c r="W60" s="206"/>
    </row>
    <row r="61" spans="1:26" x14ac:dyDescent="0.25">
      <c r="A61" s="101">
        <v>41</v>
      </c>
      <c r="B61" s="709" t="s">
        <v>577</v>
      </c>
      <c r="C61" s="710"/>
      <c r="D61" s="150"/>
      <c r="E61" s="150"/>
      <c r="F61" s="150"/>
      <c r="G61" s="150"/>
      <c r="H61" s="52">
        <v>3.8</v>
      </c>
      <c r="I61" s="144"/>
      <c r="J61" s="144"/>
      <c r="K61" s="144"/>
      <c r="L61" s="144"/>
      <c r="N61" s="104">
        <v>175</v>
      </c>
      <c r="O61" s="122" t="s">
        <v>42</v>
      </c>
      <c r="P61" s="7">
        <f>P60/H134</f>
        <v>500</v>
      </c>
      <c r="Q61" s="202">
        <f>Q60/I134</f>
        <v>500</v>
      </c>
      <c r="U61" s="155"/>
      <c r="V61" s="205"/>
      <c r="W61" s="206"/>
    </row>
    <row r="62" spans="1:26" x14ac:dyDescent="0.25">
      <c r="A62" s="101">
        <v>42</v>
      </c>
      <c r="B62" s="151" t="s">
        <v>101</v>
      </c>
      <c r="C62" s="683"/>
      <c r="D62" s="150"/>
      <c r="E62" s="150"/>
      <c r="F62" s="150"/>
      <c r="G62" s="208" t="s">
        <v>102</v>
      </c>
      <c r="H62" s="39">
        <v>3</v>
      </c>
      <c r="I62" s="144"/>
      <c r="J62" s="144"/>
      <c r="K62" s="144"/>
      <c r="L62" s="144"/>
      <c r="N62" s="104">
        <v>176</v>
      </c>
      <c r="O62" s="122" t="s">
        <v>44</v>
      </c>
      <c r="P62" s="22">
        <f>P54/H53</f>
        <v>2.0014414414414414</v>
      </c>
      <c r="Q62" s="14">
        <f>Q54/I68</f>
        <v>1</v>
      </c>
      <c r="U62" s="209"/>
      <c r="V62" s="210"/>
      <c r="W62" s="211"/>
    </row>
    <row r="63" spans="1:26" x14ac:dyDescent="0.25">
      <c r="A63" s="101">
        <v>43</v>
      </c>
      <c r="B63" s="122" t="s">
        <v>48</v>
      </c>
      <c r="C63" s="122"/>
      <c r="D63" s="150"/>
      <c r="E63" s="150"/>
      <c r="F63" s="150"/>
      <c r="G63" s="150"/>
      <c r="H63" s="61">
        <f>H57*H62</f>
        <v>324.32432432432427</v>
      </c>
      <c r="I63" s="144"/>
      <c r="J63" s="144"/>
      <c r="K63" s="144"/>
      <c r="L63" s="144"/>
      <c r="N63" s="123">
        <v>177</v>
      </c>
      <c r="O63" s="151" t="s">
        <v>104</v>
      </c>
      <c r="P63" s="8">
        <f>H143/(K12+100%)</f>
        <v>16.806722689075631</v>
      </c>
      <c r="Q63" s="4">
        <f>I143/(K12+100%)</f>
        <v>16.806722689075631</v>
      </c>
      <c r="U63" s="209"/>
      <c r="V63" s="210"/>
      <c r="W63" s="211"/>
      <c r="X63" s="90"/>
    </row>
    <row r="64" spans="1:26" x14ac:dyDescent="0.25">
      <c r="A64" s="101">
        <v>44</v>
      </c>
      <c r="B64" s="122" t="s">
        <v>443</v>
      </c>
      <c r="C64" s="122"/>
      <c r="D64" s="150"/>
      <c r="E64" s="150"/>
      <c r="F64" s="150"/>
      <c r="G64" s="150"/>
      <c r="H64" s="39">
        <v>168</v>
      </c>
      <c r="I64" s="144"/>
      <c r="J64" s="144"/>
      <c r="K64" s="144"/>
      <c r="L64" s="144"/>
      <c r="N64" s="123">
        <v>178</v>
      </c>
      <c r="O64" s="203" t="s">
        <v>47</v>
      </c>
      <c r="P64" s="27">
        <f>P61*P63</f>
        <v>8403.361344537816</v>
      </c>
      <c r="Q64" s="204">
        <f>Q61*Q63</f>
        <v>8403.361344537816</v>
      </c>
      <c r="U64" s="155"/>
      <c r="V64" s="205"/>
      <c r="W64" s="206"/>
    </row>
    <row r="65" spans="1:23" ht="14.4" thickBot="1" x14ac:dyDescent="0.3">
      <c r="A65" s="101">
        <v>45</v>
      </c>
      <c r="B65" s="122" t="s">
        <v>76</v>
      </c>
      <c r="C65" s="122"/>
      <c r="D65" s="150"/>
      <c r="E65" s="150"/>
      <c r="F65" s="150"/>
      <c r="G65" s="150"/>
      <c r="H65" s="61">
        <f>H57+H63+H64</f>
        <v>600.43243243243239</v>
      </c>
      <c r="I65" s="144"/>
      <c r="J65" s="144"/>
      <c r="K65" s="144"/>
      <c r="L65" s="144"/>
      <c r="N65" s="155"/>
      <c r="O65" s="205"/>
      <c r="P65" s="205"/>
      <c r="Q65" s="206"/>
      <c r="R65" s="212"/>
      <c r="U65" s="155"/>
      <c r="V65" s="205"/>
      <c r="W65" s="206"/>
    </row>
    <row r="66" spans="1:23" ht="15" thickTop="1" thickBot="1" x14ac:dyDescent="0.3">
      <c r="A66" s="109">
        <v>46</v>
      </c>
      <c r="B66" s="213" t="s">
        <v>442</v>
      </c>
      <c r="C66" s="214"/>
      <c r="D66" s="215"/>
      <c r="E66" s="215"/>
      <c r="F66" s="215"/>
      <c r="G66" s="215"/>
      <c r="H66" s="53">
        <v>1</v>
      </c>
      <c r="I66" s="144"/>
      <c r="J66" s="144"/>
      <c r="K66" s="144"/>
      <c r="L66" s="144"/>
      <c r="N66" s="131"/>
      <c r="O66" s="132"/>
      <c r="P66" s="132"/>
      <c r="Q66" s="133"/>
      <c r="U66" s="131"/>
      <c r="V66" s="132"/>
      <c r="W66" s="133"/>
    </row>
    <row r="67" spans="1:23" ht="14.4" thickBot="1" x14ac:dyDescent="0.3">
      <c r="D67" s="144"/>
      <c r="E67" s="144"/>
      <c r="F67" s="144"/>
      <c r="G67" s="144"/>
      <c r="H67" s="144"/>
      <c r="I67" s="146" t="s">
        <v>75</v>
      </c>
      <c r="J67" s="144"/>
      <c r="K67" s="144"/>
      <c r="L67" s="144"/>
      <c r="N67" s="104">
        <v>179</v>
      </c>
      <c r="O67" s="136" t="s">
        <v>103</v>
      </c>
      <c r="P67" s="33"/>
      <c r="Q67" s="216"/>
      <c r="R67" s="212"/>
      <c r="U67" s="104"/>
      <c r="V67" s="681" t="s">
        <v>120</v>
      </c>
      <c r="W67" s="32"/>
    </row>
    <row r="68" spans="1:23" x14ac:dyDescent="0.25">
      <c r="A68" s="95">
        <v>47</v>
      </c>
      <c r="B68" s="721" t="s">
        <v>576</v>
      </c>
      <c r="C68" s="722"/>
      <c r="D68" s="196"/>
      <c r="E68" s="197"/>
      <c r="F68" s="197"/>
      <c r="G68" s="197"/>
      <c r="H68" s="197"/>
      <c r="I68" s="57">
        <f>I13</f>
        <v>300</v>
      </c>
      <c r="J68" s="144"/>
      <c r="K68" s="144"/>
      <c r="L68" s="144"/>
      <c r="N68" s="104">
        <v>180</v>
      </c>
      <c r="O68" s="122" t="s">
        <v>100</v>
      </c>
      <c r="P68" s="19">
        <f>H63*H61</f>
        <v>1232.4324324324321</v>
      </c>
      <c r="Q68" s="217">
        <f>I77*I76</f>
        <v>500</v>
      </c>
      <c r="U68" s="104">
        <v>230</v>
      </c>
      <c r="V68" s="683" t="s">
        <v>109</v>
      </c>
      <c r="W68" s="28">
        <f>J84*J85</f>
        <v>45</v>
      </c>
    </row>
    <row r="69" spans="1:23" x14ac:dyDescent="0.25">
      <c r="A69" s="101">
        <v>48</v>
      </c>
      <c r="B69" s="709" t="s">
        <v>38</v>
      </c>
      <c r="C69" s="710"/>
      <c r="D69" s="179"/>
      <c r="E69" s="150"/>
      <c r="F69" s="150"/>
      <c r="G69" s="150"/>
      <c r="H69" s="150"/>
      <c r="I69" s="39">
        <v>2</v>
      </c>
      <c r="J69" s="144"/>
      <c r="K69" s="144"/>
      <c r="L69" s="144"/>
      <c r="N69" s="104">
        <v>181</v>
      </c>
      <c r="O69" s="122" t="s">
        <v>50</v>
      </c>
      <c r="P69" s="19">
        <f>H57*H128</f>
        <v>43.243243243243242</v>
      </c>
      <c r="Q69" s="217">
        <f>I72*I128</f>
        <v>43.243243243243242</v>
      </c>
      <c r="U69" s="104">
        <v>231</v>
      </c>
      <c r="V69" s="683" t="s">
        <v>110</v>
      </c>
      <c r="W69" s="28">
        <f t="shared" ref="W69:W74" si="6">J86*J92</f>
        <v>362</v>
      </c>
    </row>
    <row r="70" spans="1:23" x14ac:dyDescent="0.25">
      <c r="A70" s="101">
        <v>49</v>
      </c>
      <c r="B70" s="709" t="s">
        <v>39</v>
      </c>
      <c r="C70" s="710"/>
      <c r="D70" s="179"/>
      <c r="E70" s="150"/>
      <c r="F70" s="150"/>
      <c r="G70" s="150"/>
      <c r="H70" s="150"/>
      <c r="I70" s="39">
        <v>5</v>
      </c>
      <c r="J70" s="144"/>
      <c r="K70" s="144"/>
      <c r="L70" s="144"/>
      <c r="N70" s="104">
        <v>182</v>
      </c>
      <c r="O70" s="122" t="s">
        <v>51</v>
      </c>
      <c r="P70" s="19">
        <f>H57*H129</f>
        <v>32.432432432432428</v>
      </c>
      <c r="Q70" s="217">
        <f>I72*I129</f>
        <v>32.432432432432428</v>
      </c>
      <c r="U70" s="104">
        <v>232</v>
      </c>
      <c r="V70" s="683" t="s">
        <v>111</v>
      </c>
      <c r="W70" s="28">
        <f t="shared" si="6"/>
        <v>0</v>
      </c>
    </row>
    <row r="71" spans="1:23" x14ac:dyDescent="0.25">
      <c r="A71" s="101">
        <v>50</v>
      </c>
      <c r="B71" s="121" t="s">
        <v>567</v>
      </c>
      <c r="C71" s="683"/>
      <c r="D71" s="150"/>
      <c r="E71" s="150"/>
      <c r="F71" s="150"/>
      <c r="G71" s="150"/>
      <c r="H71" s="150"/>
      <c r="I71" s="648">
        <v>14.48</v>
      </c>
      <c r="J71" s="144"/>
      <c r="K71" s="144"/>
      <c r="L71" s="144"/>
      <c r="N71" s="104">
        <v>183</v>
      </c>
      <c r="O71" s="122" t="s">
        <v>53</v>
      </c>
      <c r="P71" s="19">
        <f>P62/H54*H130</f>
        <v>3.0021621621621621</v>
      </c>
      <c r="Q71" s="24">
        <f>Q62/I69*I130</f>
        <v>1.5</v>
      </c>
      <c r="U71" s="104">
        <v>233</v>
      </c>
      <c r="V71" s="683" t="s">
        <v>112</v>
      </c>
      <c r="W71" s="28">
        <f t="shared" si="6"/>
        <v>0</v>
      </c>
    </row>
    <row r="72" spans="1:23" x14ac:dyDescent="0.25">
      <c r="A72" s="101">
        <v>51</v>
      </c>
      <c r="B72" s="151" t="s">
        <v>88</v>
      </c>
      <c r="C72" s="122"/>
      <c r="D72" s="150"/>
      <c r="E72" s="150"/>
      <c r="F72" s="150"/>
      <c r="G72" s="150"/>
      <c r="H72" s="150"/>
      <c r="I72" s="63">
        <f>Q53/I73</f>
        <v>108.1081081081081</v>
      </c>
      <c r="J72" s="144"/>
      <c r="K72" s="144"/>
      <c r="L72" s="144"/>
      <c r="N72" s="104">
        <v>184</v>
      </c>
      <c r="O72" s="122" t="s">
        <v>55</v>
      </c>
      <c r="P72" s="19">
        <f>P62*H131</f>
        <v>16.011531531531531</v>
      </c>
      <c r="Q72" s="217">
        <f>Q62*I131</f>
        <v>15</v>
      </c>
      <c r="U72" s="104">
        <v>234</v>
      </c>
      <c r="V72" s="121" t="s">
        <v>113</v>
      </c>
      <c r="W72" s="4">
        <f t="shared" si="6"/>
        <v>16.649999999999999</v>
      </c>
    </row>
    <row r="73" spans="1:23" x14ac:dyDescent="0.25">
      <c r="A73" s="101">
        <v>52</v>
      </c>
      <c r="B73" s="151" t="s">
        <v>89</v>
      </c>
      <c r="C73" s="122"/>
      <c r="D73" s="150"/>
      <c r="E73" s="150"/>
      <c r="F73" s="150"/>
      <c r="G73" s="150"/>
      <c r="H73" s="150"/>
      <c r="I73" s="51">
        <v>0.92500000000000004</v>
      </c>
      <c r="J73" s="144"/>
      <c r="K73" s="144"/>
      <c r="L73" s="144"/>
      <c r="N73" s="104">
        <v>185</v>
      </c>
      <c r="O73" s="122" t="s">
        <v>56</v>
      </c>
      <c r="P73" s="19">
        <f>P54/100*H132</f>
        <v>18.012972972972975</v>
      </c>
      <c r="Q73" s="217">
        <f>Q62*I132</f>
        <v>3</v>
      </c>
      <c r="U73" s="104">
        <v>235</v>
      </c>
      <c r="V73" s="683" t="s">
        <v>114</v>
      </c>
      <c r="W73" s="28">
        <f t="shared" si="6"/>
        <v>0</v>
      </c>
    </row>
    <row r="74" spans="1:23" x14ac:dyDescent="0.25">
      <c r="A74" s="101">
        <v>53</v>
      </c>
      <c r="B74" s="151" t="s">
        <v>90</v>
      </c>
      <c r="C74" s="122"/>
      <c r="D74" s="150"/>
      <c r="E74" s="150"/>
      <c r="F74" s="150"/>
      <c r="G74" s="150"/>
      <c r="H74" s="150"/>
      <c r="I74" s="42">
        <v>1.3</v>
      </c>
      <c r="J74" s="125"/>
      <c r="K74" s="125"/>
      <c r="L74" s="144"/>
      <c r="N74" s="104">
        <v>186</v>
      </c>
      <c r="O74" s="162" t="s">
        <v>57</v>
      </c>
      <c r="P74" s="19">
        <f>P60*H138</f>
        <v>30</v>
      </c>
      <c r="Q74" s="217">
        <f>Q60*I138</f>
        <v>30</v>
      </c>
      <c r="U74" s="104">
        <v>236</v>
      </c>
      <c r="V74" s="683" t="s">
        <v>115</v>
      </c>
      <c r="W74" s="28">
        <f t="shared" si="6"/>
        <v>0</v>
      </c>
    </row>
    <row r="75" spans="1:23" x14ac:dyDescent="0.25">
      <c r="A75" s="101">
        <v>54</v>
      </c>
      <c r="B75" s="151" t="s">
        <v>441</v>
      </c>
      <c r="C75" s="122"/>
      <c r="D75" s="150"/>
      <c r="E75" s="150"/>
      <c r="F75" s="150"/>
      <c r="G75" s="150"/>
      <c r="H75" s="150"/>
      <c r="I75" s="42">
        <v>40</v>
      </c>
      <c r="J75" s="125"/>
      <c r="K75" s="125"/>
      <c r="L75" s="144"/>
      <c r="N75" s="104">
        <v>187</v>
      </c>
      <c r="O75" s="151" t="s">
        <v>60</v>
      </c>
      <c r="P75" s="23">
        <f>(H135+H136+H137)*P61</f>
        <v>600</v>
      </c>
      <c r="Q75" s="217">
        <f>(I135+I136+I137)*Q61</f>
        <v>600</v>
      </c>
      <c r="U75" s="104">
        <v>237</v>
      </c>
      <c r="V75" s="121" t="s">
        <v>116</v>
      </c>
      <c r="W75" s="4">
        <f>W53*J138</f>
        <v>12</v>
      </c>
    </row>
    <row r="76" spans="1:23" x14ac:dyDescent="0.25">
      <c r="A76" s="101">
        <v>55</v>
      </c>
      <c r="B76" s="709" t="s">
        <v>570</v>
      </c>
      <c r="C76" s="710"/>
      <c r="D76" s="150"/>
      <c r="E76" s="150"/>
      <c r="F76" s="150"/>
      <c r="G76" s="150"/>
      <c r="H76" s="150"/>
      <c r="I76" s="52">
        <v>50</v>
      </c>
      <c r="J76" s="125"/>
      <c r="K76" s="125"/>
      <c r="L76" s="144"/>
      <c r="N76" s="104">
        <v>188</v>
      </c>
      <c r="O76" s="122" t="s">
        <v>242</v>
      </c>
      <c r="P76" s="19">
        <f>P59</f>
        <v>1565.4054054054054</v>
      </c>
      <c r="Q76" s="217">
        <f>Q59</f>
        <v>1565.4054054054054</v>
      </c>
      <c r="U76" s="104">
        <v>238</v>
      </c>
      <c r="V76" s="683" t="s">
        <v>60</v>
      </c>
      <c r="W76" s="28">
        <f>(J135+J136+J137)*W54</f>
        <v>240</v>
      </c>
    </row>
    <row r="77" spans="1:23" x14ac:dyDescent="0.25">
      <c r="A77" s="101">
        <v>56</v>
      </c>
      <c r="B77" s="122" t="s">
        <v>91</v>
      </c>
      <c r="C77" s="122"/>
      <c r="D77" s="150"/>
      <c r="E77" s="150"/>
      <c r="F77" s="150"/>
      <c r="G77" s="150"/>
      <c r="H77" s="150"/>
      <c r="I77" s="39">
        <v>10</v>
      </c>
      <c r="J77" s="125"/>
      <c r="K77" s="125"/>
      <c r="L77" s="144"/>
      <c r="N77" s="104">
        <v>189</v>
      </c>
      <c r="O77" s="156" t="s">
        <v>121</v>
      </c>
      <c r="P77" s="18">
        <f>SUM(P68:P76)</f>
        <v>3540.54018018018</v>
      </c>
      <c r="Q77" s="218">
        <f>SUM(Q68:Q76)</f>
        <v>2790.5810810810808</v>
      </c>
      <c r="U77" s="104">
        <v>239</v>
      </c>
      <c r="V77" s="156" t="s">
        <v>121</v>
      </c>
      <c r="W77" s="219">
        <f>SUM(W68:W76)</f>
        <v>675.65</v>
      </c>
    </row>
    <row r="78" spans="1:23" x14ac:dyDescent="0.25">
      <c r="A78" s="101">
        <v>57</v>
      </c>
      <c r="B78" s="122" t="s">
        <v>443</v>
      </c>
      <c r="C78" s="122"/>
      <c r="D78" s="150"/>
      <c r="E78" s="150"/>
      <c r="F78" s="150"/>
      <c r="G78" s="150"/>
      <c r="H78" s="150"/>
      <c r="I78" s="39">
        <v>290</v>
      </c>
      <c r="J78" s="144"/>
      <c r="K78" s="144"/>
      <c r="L78" s="144"/>
      <c r="N78" s="104"/>
      <c r="O78" s="107"/>
      <c r="P78" s="220"/>
      <c r="Q78" s="221"/>
      <c r="U78" s="104"/>
      <c r="V78" s="107"/>
      <c r="W78" s="31"/>
    </row>
    <row r="79" spans="1:23" x14ac:dyDescent="0.25">
      <c r="A79" s="101">
        <v>58</v>
      </c>
      <c r="B79" s="122" t="s">
        <v>76</v>
      </c>
      <c r="C79" s="122"/>
      <c r="D79" s="150"/>
      <c r="E79" s="150"/>
      <c r="F79" s="150"/>
      <c r="G79" s="150"/>
      <c r="H79" s="150"/>
      <c r="I79" s="61">
        <f>E42+I77+I78</f>
        <v>300</v>
      </c>
      <c r="J79" s="144"/>
      <c r="K79" s="144"/>
      <c r="L79" s="144"/>
      <c r="N79" s="222">
        <v>190</v>
      </c>
      <c r="O79" s="160" t="s">
        <v>65</v>
      </c>
      <c r="P79" s="223">
        <f>P64</f>
        <v>8403.361344537816</v>
      </c>
      <c r="Q79" s="218">
        <f>Q64</f>
        <v>8403.361344537816</v>
      </c>
      <c r="U79" s="104">
        <v>240</v>
      </c>
      <c r="V79" s="160" t="s">
        <v>65</v>
      </c>
      <c r="W79" s="56">
        <f>W56</f>
        <v>3361.3445378151264</v>
      </c>
    </row>
    <row r="80" spans="1:23" ht="14.4" thickBot="1" x14ac:dyDescent="0.3">
      <c r="A80" s="109">
        <v>59</v>
      </c>
      <c r="B80" s="213" t="s">
        <v>87</v>
      </c>
      <c r="C80" s="214"/>
      <c r="D80" s="215"/>
      <c r="E80" s="215"/>
      <c r="F80" s="215"/>
      <c r="G80" s="215"/>
      <c r="H80" s="215"/>
      <c r="I80" s="53">
        <v>1</v>
      </c>
      <c r="J80" s="144"/>
      <c r="K80" s="144"/>
      <c r="L80" s="144"/>
      <c r="N80" s="222">
        <v>191</v>
      </c>
      <c r="O80" s="162" t="s">
        <v>66</v>
      </c>
      <c r="P80" s="20">
        <f>-P77</f>
        <v>-3540.54018018018</v>
      </c>
      <c r="Q80" s="217">
        <f>-Q77</f>
        <v>-2790.5810810810808</v>
      </c>
      <c r="U80" s="222">
        <v>241</v>
      </c>
      <c r="V80" s="162" t="s">
        <v>66</v>
      </c>
      <c r="W80" s="30">
        <f>-W77</f>
        <v>-675.65</v>
      </c>
    </row>
    <row r="81" spans="1:23" ht="14.4" thickBot="1" x14ac:dyDescent="0.3">
      <c r="D81" s="144"/>
      <c r="E81" s="144"/>
      <c r="F81" s="144"/>
      <c r="G81" s="144"/>
      <c r="H81" s="144"/>
      <c r="I81" s="144"/>
      <c r="J81" s="144"/>
      <c r="K81" s="144"/>
      <c r="L81" s="144"/>
      <c r="N81" s="222">
        <v>192</v>
      </c>
      <c r="O81" s="160" t="s">
        <v>168</v>
      </c>
      <c r="P81" s="223">
        <f>SUM(P79:P80)</f>
        <v>4862.821164357636</v>
      </c>
      <c r="Q81" s="218">
        <f>SUM(Q79:Q80)</f>
        <v>5612.7802634567352</v>
      </c>
      <c r="U81" s="104">
        <v>242</v>
      </c>
      <c r="V81" s="160" t="s">
        <v>168</v>
      </c>
      <c r="W81" s="218">
        <f>SUM(W79:W80)</f>
        <v>2685.6945378151263</v>
      </c>
    </row>
    <row r="82" spans="1:23" x14ac:dyDescent="0.25">
      <c r="A82" s="95">
        <v>60</v>
      </c>
      <c r="B82" s="224" t="s">
        <v>119</v>
      </c>
      <c r="C82" s="148"/>
      <c r="D82" s="197"/>
      <c r="E82" s="197"/>
      <c r="F82" s="197"/>
      <c r="G82" s="197"/>
      <c r="H82" s="197"/>
      <c r="I82" s="197"/>
      <c r="J82" s="225" t="s">
        <v>2</v>
      </c>
      <c r="K82" s="94"/>
      <c r="L82" s="144"/>
      <c r="N82" s="222">
        <v>193</v>
      </c>
      <c r="O82" s="163" t="s">
        <v>67</v>
      </c>
      <c r="P82" s="22">
        <f>H66+((P54/H53)*H55)+((P61*H140)/60)+((P61*H141)/60)+H139</f>
        <v>121.34054054054053</v>
      </c>
      <c r="Q82" s="14">
        <f>I80+((Q54/I68)*I70)+((Q61*I140)/60)+((Q61*I141)/60)+I139</f>
        <v>116.33333333333333</v>
      </c>
      <c r="U82" s="104">
        <v>243</v>
      </c>
      <c r="V82" s="163" t="s">
        <v>67</v>
      </c>
      <c r="W82" s="36">
        <f>J99+J98+((W54*J140)/60)+((W54*J141)/60)</f>
        <v>47.13333333333334</v>
      </c>
    </row>
    <row r="83" spans="1:23" x14ac:dyDescent="0.25">
      <c r="A83" s="101">
        <v>61</v>
      </c>
      <c r="B83" s="151" t="s">
        <v>92</v>
      </c>
      <c r="C83" s="683"/>
      <c r="D83" s="150"/>
      <c r="E83" s="150"/>
      <c r="F83" s="150"/>
      <c r="G83" s="150"/>
      <c r="H83" s="150"/>
      <c r="I83" s="150"/>
      <c r="J83" s="39">
        <v>100</v>
      </c>
      <c r="K83" s="119"/>
      <c r="L83" s="144"/>
      <c r="N83" s="164">
        <v>194</v>
      </c>
      <c r="O83" s="165" t="s">
        <v>125</v>
      </c>
      <c r="P83" s="166">
        <f>P77/P53</f>
        <v>35.405401801801801</v>
      </c>
      <c r="Q83" s="167">
        <f>Q77/Q53</f>
        <v>27.905810810810809</v>
      </c>
      <c r="U83" s="164">
        <v>244</v>
      </c>
      <c r="V83" s="165" t="s">
        <v>126</v>
      </c>
      <c r="W83" s="167">
        <f>W77/W53</f>
        <v>6.7565</v>
      </c>
    </row>
    <row r="84" spans="1:23" x14ac:dyDescent="0.25">
      <c r="A84" s="101">
        <v>62</v>
      </c>
      <c r="B84" s="151" t="s">
        <v>93</v>
      </c>
      <c r="C84" s="683"/>
      <c r="D84" s="150"/>
      <c r="E84" s="150"/>
      <c r="F84" s="150"/>
      <c r="G84" s="150"/>
      <c r="H84" s="150"/>
      <c r="I84" s="150"/>
      <c r="J84" s="39">
        <v>100</v>
      </c>
      <c r="K84" s="119"/>
      <c r="L84" s="144"/>
      <c r="N84" s="164">
        <v>195</v>
      </c>
      <c r="O84" s="165" t="s">
        <v>166</v>
      </c>
      <c r="P84" s="166">
        <f>P79/P53</f>
        <v>84.033613445378165</v>
      </c>
      <c r="Q84" s="167">
        <f>Q79/Q53</f>
        <v>84.033613445378165</v>
      </c>
      <c r="U84" s="164">
        <v>245</v>
      </c>
      <c r="V84" s="165" t="s">
        <v>166</v>
      </c>
      <c r="W84" s="167">
        <f>W79/W53</f>
        <v>33.613445378151262</v>
      </c>
    </row>
    <row r="85" spans="1:23" x14ac:dyDescent="0.25">
      <c r="A85" s="101">
        <v>63</v>
      </c>
      <c r="B85" s="151" t="s">
        <v>577</v>
      </c>
      <c r="C85" s="683"/>
      <c r="D85" s="150"/>
      <c r="E85" s="150"/>
      <c r="F85" s="150"/>
      <c r="G85" s="150"/>
      <c r="H85" s="150"/>
      <c r="I85" s="150"/>
      <c r="J85" s="648">
        <v>0.45</v>
      </c>
      <c r="K85" s="226"/>
      <c r="L85" s="144"/>
      <c r="N85" s="164">
        <v>196</v>
      </c>
      <c r="O85" s="165" t="s">
        <v>118</v>
      </c>
      <c r="P85" s="173">
        <f>P82/P53</f>
        <v>1.2134054054054053</v>
      </c>
      <c r="Q85" s="174">
        <f>Q82/Q53</f>
        <v>1.1633333333333333</v>
      </c>
      <c r="U85" s="164">
        <v>246</v>
      </c>
      <c r="V85" s="165" t="s">
        <v>124</v>
      </c>
      <c r="W85" s="55">
        <f>W82/W53</f>
        <v>0.47133333333333338</v>
      </c>
    </row>
    <row r="86" spans="1:23" x14ac:dyDescent="0.25">
      <c r="A86" s="101">
        <v>64</v>
      </c>
      <c r="B86" s="122" t="s">
        <v>77</v>
      </c>
      <c r="C86" s="122"/>
      <c r="D86" s="150"/>
      <c r="E86" s="150"/>
      <c r="F86" s="150"/>
      <c r="G86" s="150"/>
      <c r="H86" s="150"/>
      <c r="I86" s="150"/>
      <c r="J86" s="42">
        <v>25</v>
      </c>
      <c r="K86" s="227"/>
      <c r="L86" s="144"/>
      <c r="N86" s="104">
        <v>197</v>
      </c>
      <c r="O86" s="176" t="s">
        <v>170</v>
      </c>
      <c r="P86" s="177">
        <f>P81/100</f>
        <v>48.628211643576357</v>
      </c>
      <c r="Q86" s="217">
        <f>Q81/100</f>
        <v>56.127802634567352</v>
      </c>
      <c r="U86" s="104">
        <v>247</v>
      </c>
      <c r="V86" s="176" t="s">
        <v>170</v>
      </c>
      <c r="W86" s="217">
        <f>W81/100</f>
        <v>26.856945378151263</v>
      </c>
    </row>
    <row r="87" spans="1:23" ht="14.4" thickBot="1" x14ac:dyDescent="0.3">
      <c r="A87" s="101">
        <v>65</v>
      </c>
      <c r="B87" s="122" t="s">
        <v>78</v>
      </c>
      <c r="C87" s="122"/>
      <c r="D87" s="150"/>
      <c r="E87" s="150"/>
      <c r="F87" s="150"/>
      <c r="G87" s="150"/>
      <c r="H87" s="150"/>
      <c r="I87" s="150"/>
      <c r="J87" s="42">
        <v>0</v>
      </c>
      <c r="K87" s="227"/>
      <c r="L87" s="144"/>
      <c r="N87" s="228">
        <v>198</v>
      </c>
      <c r="O87" s="181" t="s">
        <v>167</v>
      </c>
      <c r="P87" s="25">
        <f>P81/P82</f>
        <v>40.075815903695776</v>
      </c>
      <c r="Q87" s="29">
        <f>Q81/Q82</f>
        <v>48.247394814814342</v>
      </c>
      <c r="U87" s="180">
        <v>248</v>
      </c>
      <c r="V87" s="181" t="s">
        <v>167</v>
      </c>
      <c r="W87" s="29">
        <f>W81/W82</f>
        <v>56.980789345441146</v>
      </c>
    </row>
    <row r="88" spans="1:23" ht="14.4" thickTop="1" x14ac:dyDescent="0.25">
      <c r="A88" s="101">
        <v>66</v>
      </c>
      <c r="B88" s="122" t="s">
        <v>79</v>
      </c>
      <c r="C88" s="122"/>
      <c r="D88" s="150"/>
      <c r="E88" s="150"/>
      <c r="F88" s="150"/>
      <c r="G88" s="150"/>
      <c r="H88" s="150"/>
      <c r="I88" s="150"/>
      <c r="J88" s="42">
        <v>0</v>
      </c>
      <c r="K88" s="227"/>
      <c r="L88" s="144"/>
      <c r="N88" s="229"/>
    </row>
    <row r="89" spans="1:23" ht="14.4" thickBot="1" x14ac:dyDescent="0.3">
      <c r="A89" s="101">
        <v>67</v>
      </c>
      <c r="B89" s="122" t="s">
        <v>80</v>
      </c>
      <c r="C89" s="122"/>
      <c r="D89" s="150"/>
      <c r="E89" s="150"/>
      <c r="F89" s="150"/>
      <c r="G89" s="150"/>
      <c r="H89" s="150"/>
      <c r="I89" s="150"/>
      <c r="J89" s="44">
        <v>11.1</v>
      </c>
      <c r="K89" s="230"/>
      <c r="L89" s="144"/>
    </row>
    <row r="90" spans="1:23" ht="14.4" thickTop="1" x14ac:dyDescent="0.25">
      <c r="A90" s="101">
        <v>68</v>
      </c>
      <c r="B90" s="122" t="s">
        <v>81</v>
      </c>
      <c r="C90" s="122"/>
      <c r="D90" s="150"/>
      <c r="E90" s="150"/>
      <c r="F90" s="150"/>
      <c r="G90" s="150"/>
      <c r="H90" s="150"/>
      <c r="I90" s="150"/>
      <c r="J90" s="39">
        <v>0</v>
      </c>
      <c r="K90" s="119"/>
      <c r="L90" s="144"/>
      <c r="N90" s="96"/>
      <c r="O90" s="195" t="s">
        <v>257</v>
      </c>
      <c r="P90" s="194"/>
    </row>
    <row r="91" spans="1:23" x14ac:dyDescent="0.25">
      <c r="A91" s="101">
        <v>69</v>
      </c>
      <c r="B91" s="122" t="s">
        <v>82</v>
      </c>
      <c r="C91" s="122"/>
      <c r="D91" s="150"/>
      <c r="E91" s="150"/>
      <c r="F91" s="150"/>
      <c r="G91" s="150"/>
      <c r="H91" s="150"/>
      <c r="I91" s="150"/>
      <c r="J91" s="39">
        <v>0</v>
      </c>
      <c r="K91" s="119"/>
      <c r="L91" s="144"/>
      <c r="N91" s="104">
        <v>199</v>
      </c>
      <c r="O91" s="231" t="s">
        <v>224</v>
      </c>
      <c r="P91" s="202">
        <f>K109</f>
        <v>100</v>
      </c>
    </row>
    <row r="92" spans="1:23" x14ac:dyDescent="0.25">
      <c r="A92" s="101">
        <v>70</v>
      </c>
      <c r="B92" s="121" t="s">
        <v>567</v>
      </c>
      <c r="C92" s="122"/>
      <c r="D92" s="150"/>
      <c r="E92" s="150"/>
      <c r="F92" s="150"/>
      <c r="G92" s="150"/>
      <c r="H92" s="150"/>
      <c r="I92" s="150"/>
      <c r="J92" s="52">
        <v>14.48</v>
      </c>
      <c r="K92" s="130"/>
      <c r="L92" s="144"/>
      <c r="N92" s="104">
        <v>200</v>
      </c>
      <c r="O92" s="232" t="s">
        <v>223</v>
      </c>
      <c r="P92" s="217">
        <f>K109*K110</f>
        <v>1676.6129728571427</v>
      </c>
    </row>
    <row r="93" spans="1:23" x14ac:dyDescent="0.25">
      <c r="A93" s="101">
        <v>71</v>
      </c>
      <c r="B93" s="122" t="s">
        <v>568</v>
      </c>
      <c r="C93" s="122"/>
      <c r="D93" s="150"/>
      <c r="E93" s="150"/>
      <c r="F93" s="150"/>
      <c r="G93" s="150"/>
      <c r="H93" s="150"/>
      <c r="I93" s="150"/>
      <c r="J93" s="648">
        <v>0</v>
      </c>
      <c r="K93" s="226"/>
      <c r="L93" s="144"/>
      <c r="N93" s="104">
        <v>201</v>
      </c>
      <c r="O93" s="233" t="s">
        <v>225</v>
      </c>
      <c r="P93" s="14">
        <f>K109*(100%-K115)*(100%-K116)*(100%-K117)*(100%-K118)*(100%-K119)*(100%-K120)*(100%-K121)*(100%-K122)*(100%-K123)*(100%-K124)</f>
        <v>83.930219999999991</v>
      </c>
    </row>
    <row r="94" spans="1:23" x14ac:dyDescent="0.25">
      <c r="A94" s="101">
        <v>72</v>
      </c>
      <c r="B94" s="122" t="s">
        <v>569</v>
      </c>
      <c r="C94" s="122"/>
      <c r="D94" s="150"/>
      <c r="E94" s="150"/>
      <c r="F94" s="150"/>
      <c r="G94" s="150"/>
      <c r="H94" s="150"/>
      <c r="I94" s="150"/>
      <c r="J94" s="648">
        <v>0</v>
      </c>
      <c r="K94" s="226"/>
      <c r="L94" s="144"/>
      <c r="N94" s="104">
        <v>202</v>
      </c>
      <c r="O94" s="233" t="s">
        <v>226</v>
      </c>
      <c r="P94" s="14">
        <f>P91-P93</f>
        <v>16.069780000000009</v>
      </c>
      <c r="R94" s="113"/>
    </row>
    <row r="95" spans="1:23" x14ac:dyDescent="0.25">
      <c r="A95" s="101">
        <v>73</v>
      </c>
      <c r="B95" s="122" t="s">
        <v>571</v>
      </c>
      <c r="C95" s="122"/>
      <c r="D95" s="150"/>
      <c r="E95" s="150"/>
      <c r="F95" s="150"/>
      <c r="G95" s="150"/>
      <c r="H95" s="150"/>
      <c r="I95" s="150"/>
      <c r="J95" s="52">
        <v>1.5</v>
      </c>
      <c r="K95" s="130"/>
      <c r="L95" s="130"/>
      <c r="M95" s="234"/>
      <c r="N95" s="104">
        <v>203</v>
      </c>
      <c r="O95" s="233" t="s">
        <v>227</v>
      </c>
      <c r="P95" s="14">
        <f>P93/K111*100</f>
        <v>209.82554999999996</v>
      </c>
    </row>
    <row r="96" spans="1:23" x14ac:dyDescent="0.25">
      <c r="A96" s="101">
        <v>74</v>
      </c>
      <c r="B96" s="122" t="s">
        <v>572</v>
      </c>
      <c r="C96" s="122"/>
      <c r="D96" s="150"/>
      <c r="E96" s="150"/>
      <c r="F96" s="150"/>
      <c r="G96" s="150"/>
      <c r="H96" s="150"/>
      <c r="I96" s="150"/>
      <c r="J96" s="52">
        <v>0</v>
      </c>
      <c r="K96" s="130"/>
      <c r="L96" s="130"/>
      <c r="M96" s="234"/>
      <c r="N96" s="155">
        <v>204</v>
      </c>
      <c r="O96" s="233" t="s">
        <v>228</v>
      </c>
      <c r="P96" s="202">
        <f>TRUNC(P95/K134,0)</f>
        <v>419</v>
      </c>
    </row>
    <row r="97" spans="1:18" x14ac:dyDescent="0.25">
      <c r="A97" s="101">
        <v>75</v>
      </c>
      <c r="B97" s="122" t="s">
        <v>573</v>
      </c>
      <c r="C97" s="122"/>
      <c r="D97" s="150"/>
      <c r="E97" s="150"/>
      <c r="F97" s="150"/>
      <c r="G97" s="150"/>
      <c r="H97" s="150"/>
      <c r="I97" s="150"/>
      <c r="J97" s="52">
        <v>0</v>
      </c>
      <c r="K97" s="130"/>
      <c r="L97" s="130"/>
      <c r="M97" s="235"/>
      <c r="N97" s="104">
        <v>205</v>
      </c>
      <c r="O97" s="236" t="s">
        <v>233</v>
      </c>
      <c r="P97" s="237">
        <f>P92/P93</f>
        <v>19.976272823509134</v>
      </c>
    </row>
    <row r="98" spans="1:18" x14ac:dyDescent="0.25">
      <c r="A98" s="101">
        <v>76</v>
      </c>
      <c r="B98" s="122" t="s">
        <v>444</v>
      </c>
      <c r="C98" s="122"/>
      <c r="D98" s="150"/>
      <c r="E98" s="150"/>
      <c r="F98" s="150"/>
      <c r="G98" s="150"/>
      <c r="H98" s="150"/>
      <c r="I98" s="150"/>
      <c r="J98" s="306">
        <v>2</v>
      </c>
      <c r="K98" s="238"/>
      <c r="L98" s="238"/>
      <c r="M98" s="239"/>
      <c r="N98" s="104">
        <v>206</v>
      </c>
      <c r="O98" s="107" t="s">
        <v>244</v>
      </c>
      <c r="P98" s="217">
        <f>K114</f>
        <v>13.03</v>
      </c>
      <c r="R98" s="113"/>
    </row>
    <row r="99" spans="1:18" ht="14.4" thickBot="1" x14ac:dyDescent="0.3">
      <c r="A99" s="109">
        <v>77</v>
      </c>
      <c r="B99" s="214" t="s">
        <v>445</v>
      </c>
      <c r="C99" s="214"/>
      <c r="D99" s="215"/>
      <c r="E99" s="215"/>
      <c r="F99" s="215"/>
      <c r="G99" s="215"/>
      <c r="H99" s="215"/>
      <c r="I99" s="215"/>
      <c r="J99" s="54">
        <v>1.8</v>
      </c>
      <c r="K99" s="240"/>
      <c r="L99" s="119"/>
      <c r="M99" s="100"/>
      <c r="N99" s="104">
        <v>207</v>
      </c>
      <c r="O99" s="107" t="s">
        <v>245</v>
      </c>
      <c r="P99" s="4">
        <f>P93*P98</f>
        <v>1093.6107665999998</v>
      </c>
    </row>
    <row r="100" spans="1:18" x14ac:dyDescent="0.25">
      <c r="A100" s="112"/>
      <c r="B100" s="114"/>
      <c r="C100" s="114"/>
      <c r="D100" s="125"/>
      <c r="E100" s="125"/>
      <c r="F100" s="125"/>
      <c r="G100" s="125"/>
      <c r="H100" s="125"/>
      <c r="I100" s="125"/>
      <c r="J100" s="240"/>
      <c r="K100" s="240"/>
      <c r="L100" s="119"/>
      <c r="M100" s="100"/>
      <c r="N100" s="104"/>
      <c r="O100" s="107"/>
      <c r="P100" s="4"/>
    </row>
    <row r="101" spans="1:18" ht="94.2" customHeight="1" x14ac:dyDescent="0.25">
      <c r="A101" s="112"/>
      <c r="B101" s="114"/>
      <c r="C101" s="114"/>
      <c r="D101" s="125"/>
      <c r="E101" s="125"/>
      <c r="F101" s="125"/>
      <c r="G101" s="125"/>
      <c r="H101" s="125"/>
      <c r="I101" s="125"/>
      <c r="J101" s="240"/>
      <c r="K101" s="240"/>
      <c r="L101" s="119"/>
      <c r="M101" s="100"/>
      <c r="N101" s="104"/>
      <c r="O101" s="107"/>
      <c r="P101" s="4"/>
    </row>
    <row r="102" spans="1:18" x14ac:dyDescent="0.25">
      <c r="A102" s="112"/>
      <c r="B102" s="114"/>
      <c r="C102" s="114"/>
      <c r="D102" s="125"/>
      <c r="E102" s="125"/>
      <c r="F102" s="125"/>
      <c r="G102" s="125"/>
      <c r="H102" s="125"/>
      <c r="I102" s="125"/>
      <c r="J102" s="240"/>
      <c r="K102" s="240"/>
      <c r="L102" s="119"/>
      <c r="M102" s="100"/>
      <c r="N102" s="104"/>
      <c r="O102" s="107"/>
      <c r="P102" s="4"/>
    </row>
    <row r="103" spans="1:18" x14ac:dyDescent="0.25">
      <c r="A103" s="112"/>
      <c r="B103" s="114"/>
      <c r="C103" s="114"/>
      <c r="D103" s="125"/>
      <c r="E103" s="125"/>
      <c r="F103" s="125"/>
      <c r="G103" s="125"/>
      <c r="H103" s="125"/>
      <c r="I103" s="125"/>
      <c r="J103" s="240"/>
      <c r="K103" s="240"/>
      <c r="L103" s="119"/>
      <c r="M103" s="100"/>
      <c r="N103" s="104"/>
      <c r="O103" s="107"/>
      <c r="P103" s="4"/>
    </row>
    <row r="104" spans="1:18" x14ac:dyDescent="0.25">
      <c r="A104" s="112"/>
      <c r="B104" s="114"/>
      <c r="C104" s="114"/>
      <c r="D104" s="125"/>
      <c r="E104" s="125"/>
      <c r="F104" s="125"/>
      <c r="G104" s="125"/>
      <c r="H104" s="125"/>
      <c r="I104" s="125"/>
      <c r="J104" s="240"/>
      <c r="K104" s="240"/>
      <c r="L104" s="119"/>
      <c r="M104" s="100"/>
      <c r="N104" s="104"/>
      <c r="O104" s="107"/>
      <c r="P104" s="4"/>
    </row>
    <row r="105" spans="1:18" x14ac:dyDescent="0.25">
      <c r="A105" s="112"/>
      <c r="B105" s="114"/>
      <c r="C105" s="114"/>
      <c r="D105" s="125"/>
      <c r="E105" s="125"/>
      <c r="F105" s="125"/>
      <c r="G105" s="125"/>
      <c r="H105" s="125"/>
      <c r="I105" s="125"/>
      <c r="J105" s="240"/>
      <c r="K105" s="240"/>
      <c r="L105" s="119"/>
      <c r="M105" s="100"/>
      <c r="N105" s="104"/>
      <c r="O105" s="107"/>
      <c r="P105" s="4"/>
    </row>
    <row r="106" spans="1:18" x14ac:dyDescent="0.25">
      <c r="A106" s="112"/>
      <c r="B106" s="114"/>
      <c r="C106" s="114"/>
      <c r="D106" s="125"/>
      <c r="E106" s="125"/>
      <c r="F106" s="125"/>
      <c r="G106" s="125"/>
      <c r="H106" s="125"/>
      <c r="I106" s="125"/>
      <c r="J106" s="240"/>
      <c r="K106" s="240"/>
      <c r="L106" s="119"/>
      <c r="M106" s="100"/>
      <c r="N106" s="104"/>
      <c r="O106" s="107"/>
      <c r="P106" s="4"/>
    </row>
    <row r="107" spans="1:18" ht="14.4" thickBot="1" x14ac:dyDescent="0.3">
      <c r="D107" s="144"/>
      <c r="E107" s="144"/>
      <c r="F107" s="144"/>
      <c r="G107" s="144"/>
      <c r="H107" s="144"/>
      <c r="I107" s="144"/>
      <c r="J107" s="144"/>
      <c r="K107" s="144"/>
      <c r="L107" s="119"/>
      <c r="M107" s="100"/>
      <c r="N107" s="104">
        <v>208</v>
      </c>
      <c r="O107" s="151" t="s">
        <v>104</v>
      </c>
      <c r="P107" s="4">
        <f>K143/(K12+100%)</f>
        <v>21.008403361344538</v>
      </c>
    </row>
    <row r="108" spans="1:18" x14ac:dyDescent="0.25">
      <c r="A108" s="95">
        <v>78</v>
      </c>
      <c r="B108" s="224" t="s">
        <v>252</v>
      </c>
      <c r="C108" s="148"/>
      <c r="D108" s="197"/>
      <c r="E108" s="197"/>
      <c r="F108" s="197"/>
      <c r="G108" s="197"/>
      <c r="H108" s="197"/>
      <c r="I108" s="197"/>
      <c r="J108" s="197"/>
      <c r="K108" s="225" t="s">
        <v>454</v>
      </c>
      <c r="L108" s="119"/>
      <c r="M108" s="100"/>
      <c r="N108" s="104">
        <v>209</v>
      </c>
      <c r="O108" s="151" t="s">
        <v>47</v>
      </c>
      <c r="P108" s="4">
        <f>P96*P107</f>
        <v>8802.5210084033606</v>
      </c>
    </row>
    <row r="109" spans="1:18" ht="14.4" thickBot="1" x14ac:dyDescent="0.3">
      <c r="A109" s="101">
        <v>79</v>
      </c>
      <c r="B109" s="151" t="s">
        <v>446</v>
      </c>
      <c r="C109" s="683"/>
      <c r="D109" s="150"/>
      <c r="E109" s="150"/>
      <c r="F109" s="150"/>
      <c r="G109" s="150"/>
      <c r="H109" s="150"/>
      <c r="I109" s="150"/>
      <c r="J109" s="150"/>
      <c r="K109" s="304">
        <v>100</v>
      </c>
      <c r="L109" s="119"/>
      <c r="M109" s="119"/>
      <c r="N109" s="180"/>
      <c r="O109" s="241"/>
      <c r="P109" s="242"/>
    </row>
    <row r="110" spans="1:18" ht="14.4" thickTop="1" x14ac:dyDescent="0.25">
      <c r="A110" s="101">
        <v>80</v>
      </c>
      <c r="B110" s="713" t="s">
        <v>232</v>
      </c>
      <c r="C110" s="714"/>
      <c r="D110" s="150"/>
      <c r="E110" s="150"/>
      <c r="F110" s="150"/>
      <c r="G110" s="150"/>
      <c r="H110" s="150"/>
      <c r="I110" s="150"/>
      <c r="J110" s="646"/>
      <c r="K110" s="647">
        <f>((P37+Q37+R37+S37)/4-(P35+Q35+R35+S35+P34+Q34+R34+S34)/4)/100</f>
        <v>16.766129728571428</v>
      </c>
      <c r="L110" s="119"/>
      <c r="M110" s="119"/>
      <c r="N110" s="157"/>
      <c r="O110" s="145"/>
      <c r="P110" s="243"/>
    </row>
    <row r="111" spans="1:18" x14ac:dyDescent="0.25">
      <c r="A111" s="101">
        <v>81</v>
      </c>
      <c r="B111" s="233" t="s">
        <v>211</v>
      </c>
      <c r="C111" s="233"/>
      <c r="D111" s="150"/>
      <c r="E111" s="150"/>
      <c r="F111" s="150"/>
      <c r="G111" s="150"/>
      <c r="H111" s="150"/>
      <c r="I111" s="150"/>
      <c r="J111" s="150"/>
      <c r="K111" s="307">
        <v>40</v>
      </c>
      <c r="L111" s="119"/>
      <c r="N111" s="104">
        <v>210</v>
      </c>
      <c r="O111" s="244" t="s">
        <v>231</v>
      </c>
      <c r="P111" s="245"/>
    </row>
    <row r="112" spans="1:18" x14ac:dyDescent="0.25">
      <c r="A112" s="101">
        <v>82</v>
      </c>
      <c r="B112" s="713" t="s">
        <v>447</v>
      </c>
      <c r="C112" s="714"/>
      <c r="D112" s="150"/>
      <c r="E112" s="150"/>
      <c r="F112" s="150"/>
      <c r="G112" s="150"/>
      <c r="H112" s="150"/>
      <c r="I112" s="150"/>
      <c r="J112" s="150"/>
      <c r="K112" s="304">
        <v>2</v>
      </c>
      <c r="L112" s="119"/>
      <c r="N112" s="104">
        <v>211</v>
      </c>
      <c r="O112" s="231" t="s">
        <v>229</v>
      </c>
      <c r="P112" s="217">
        <f>P92</f>
        <v>1676.6129728571427</v>
      </c>
    </row>
    <row r="113" spans="1:16" x14ac:dyDescent="0.25">
      <c r="A113" s="101">
        <v>83</v>
      </c>
      <c r="B113" s="713" t="s">
        <v>212</v>
      </c>
      <c r="C113" s="714"/>
      <c r="D113" s="150"/>
      <c r="E113" s="150"/>
      <c r="F113" s="150"/>
      <c r="G113" s="150"/>
      <c r="H113" s="150"/>
      <c r="I113" s="150"/>
      <c r="J113" s="150"/>
      <c r="K113" s="308">
        <v>1.4999999999999999E-2</v>
      </c>
      <c r="L113" s="119"/>
      <c r="N113" s="104">
        <v>212</v>
      </c>
      <c r="O113" s="231" t="s">
        <v>230</v>
      </c>
      <c r="P113" s="217">
        <f>P92*K113</f>
        <v>25.149194592857139</v>
      </c>
    </row>
    <row r="114" spans="1:16" x14ac:dyDescent="0.25">
      <c r="A114" s="101">
        <v>84</v>
      </c>
      <c r="B114" s="107" t="s">
        <v>246</v>
      </c>
      <c r="C114" s="683"/>
      <c r="D114" s="150"/>
      <c r="E114" s="150"/>
      <c r="F114" s="150"/>
      <c r="G114" s="150"/>
      <c r="H114" s="150"/>
      <c r="I114" s="150"/>
      <c r="J114" s="150"/>
      <c r="K114" s="648">
        <v>13.03</v>
      </c>
      <c r="L114" s="119"/>
      <c r="N114" s="104">
        <v>213</v>
      </c>
      <c r="O114" s="231" t="s">
        <v>57</v>
      </c>
      <c r="P114" s="4">
        <f>K138*P95</f>
        <v>25.179065999999995</v>
      </c>
    </row>
    <row r="115" spans="1:16" x14ac:dyDescent="0.25">
      <c r="A115" s="101">
        <v>85</v>
      </c>
      <c r="B115" s="713" t="s">
        <v>213</v>
      </c>
      <c r="C115" s="714"/>
      <c r="D115" s="150"/>
      <c r="E115" s="150"/>
      <c r="F115" s="150"/>
      <c r="G115" s="150"/>
      <c r="H115" s="150"/>
      <c r="I115" s="150"/>
      <c r="J115" s="150"/>
      <c r="K115" s="310">
        <v>0.08</v>
      </c>
      <c r="L115" s="119"/>
      <c r="M115" s="119">
        <f t="shared" ref="M115:M124" si="7">IF(K115&gt;0,1,0)</f>
        <v>1</v>
      </c>
      <c r="N115" s="104">
        <v>214</v>
      </c>
      <c r="O115" s="231" t="s">
        <v>60</v>
      </c>
      <c r="P115" s="4">
        <f>(K135+K136+K137)*P96</f>
        <v>502.79999999999995</v>
      </c>
    </row>
    <row r="116" spans="1:16" x14ac:dyDescent="0.25">
      <c r="A116" s="101">
        <v>86</v>
      </c>
      <c r="B116" s="713" t="s">
        <v>214</v>
      </c>
      <c r="C116" s="714"/>
      <c r="D116" s="150"/>
      <c r="E116" s="150"/>
      <c r="F116" s="150"/>
      <c r="G116" s="150"/>
      <c r="H116" s="150"/>
      <c r="I116" s="150"/>
      <c r="J116" s="150"/>
      <c r="K116" s="310">
        <v>0.05</v>
      </c>
      <c r="L116" s="130"/>
      <c r="M116" s="119">
        <f t="shared" si="7"/>
        <v>1</v>
      </c>
      <c r="N116" s="104">
        <v>215</v>
      </c>
      <c r="O116" s="107" t="s">
        <v>243</v>
      </c>
      <c r="P116" s="4">
        <f>P99</f>
        <v>1093.6107665999998</v>
      </c>
    </row>
    <row r="117" spans="1:16" x14ac:dyDescent="0.25">
      <c r="A117" s="101">
        <v>87</v>
      </c>
      <c r="B117" s="713" t="s">
        <v>215</v>
      </c>
      <c r="C117" s="714"/>
      <c r="D117" s="150"/>
      <c r="E117" s="150"/>
      <c r="F117" s="150"/>
      <c r="G117" s="150"/>
      <c r="H117" s="150"/>
      <c r="I117" s="150"/>
      <c r="J117" s="150"/>
      <c r="K117" s="310">
        <v>0.03</v>
      </c>
      <c r="L117" s="130"/>
      <c r="M117" s="119">
        <f t="shared" si="7"/>
        <v>1</v>
      </c>
      <c r="N117" s="104">
        <v>216</v>
      </c>
      <c r="O117" s="156" t="s">
        <v>121</v>
      </c>
      <c r="P117" s="218">
        <f>SUM(P112:P116)</f>
        <v>3323.3520000499993</v>
      </c>
    </row>
    <row r="118" spans="1:16" x14ac:dyDescent="0.25">
      <c r="A118" s="101">
        <v>88</v>
      </c>
      <c r="B118" s="713" t="s">
        <v>216</v>
      </c>
      <c r="C118" s="714"/>
      <c r="D118" s="150"/>
      <c r="E118" s="150"/>
      <c r="F118" s="150"/>
      <c r="G118" s="150"/>
      <c r="H118" s="150"/>
      <c r="I118" s="150"/>
      <c r="J118" s="150"/>
      <c r="K118" s="310">
        <v>0.01</v>
      </c>
      <c r="L118" s="130"/>
      <c r="M118" s="119">
        <f t="shared" si="7"/>
        <v>1</v>
      </c>
      <c r="N118" s="104"/>
      <c r="P118" s="202"/>
    </row>
    <row r="119" spans="1:16" x14ac:dyDescent="0.25">
      <c r="A119" s="101">
        <v>89</v>
      </c>
      <c r="B119" s="713" t="s">
        <v>217</v>
      </c>
      <c r="C119" s="714"/>
      <c r="D119" s="150"/>
      <c r="E119" s="150"/>
      <c r="F119" s="150"/>
      <c r="G119" s="150"/>
      <c r="H119" s="150"/>
      <c r="I119" s="150"/>
      <c r="J119" s="150"/>
      <c r="K119" s="310">
        <v>0</v>
      </c>
      <c r="L119" s="649"/>
      <c r="M119" s="119">
        <f t="shared" si="7"/>
        <v>0</v>
      </c>
      <c r="N119" s="104">
        <v>217</v>
      </c>
      <c r="O119" s="160" t="s">
        <v>65</v>
      </c>
      <c r="P119" s="218">
        <f>P108</f>
        <v>8802.5210084033606</v>
      </c>
    </row>
    <row r="120" spans="1:16" x14ac:dyDescent="0.25">
      <c r="A120" s="101">
        <v>90</v>
      </c>
      <c r="B120" s="713" t="s">
        <v>218</v>
      </c>
      <c r="C120" s="714"/>
      <c r="D120" s="150"/>
      <c r="E120" s="150"/>
      <c r="F120" s="150"/>
      <c r="G120" s="150"/>
      <c r="H120" s="150"/>
      <c r="I120" s="150"/>
      <c r="J120" s="150"/>
      <c r="K120" s="310">
        <v>0</v>
      </c>
      <c r="L120" s="119"/>
      <c r="M120" s="119">
        <f t="shared" si="7"/>
        <v>0</v>
      </c>
      <c r="N120" s="104">
        <v>218</v>
      </c>
      <c r="O120" s="162" t="s">
        <v>66</v>
      </c>
      <c r="P120" s="217">
        <f>-P117</f>
        <v>-3323.3520000499993</v>
      </c>
    </row>
    <row r="121" spans="1:16" x14ac:dyDescent="0.25">
      <c r="A121" s="101">
        <v>91</v>
      </c>
      <c r="B121" s="713" t="s">
        <v>219</v>
      </c>
      <c r="C121" s="714"/>
      <c r="D121" s="150"/>
      <c r="E121" s="150"/>
      <c r="F121" s="150"/>
      <c r="G121" s="150"/>
      <c r="H121" s="150"/>
      <c r="I121" s="150"/>
      <c r="J121" s="150"/>
      <c r="K121" s="310">
        <v>0</v>
      </c>
      <c r="L121" s="119"/>
      <c r="M121" s="119">
        <f t="shared" si="7"/>
        <v>0</v>
      </c>
      <c r="N121" s="104">
        <v>219</v>
      </c>
      <c r="O121" s="160" t="s">
        <v>168</v>
      </c>
      <c r="P121" s="218">
        <f>SUM(P119:P120)</f>
        <v>5479.1690083533613</v>
      </c>
    </row>
    <row r="122" spans="1:16" x14ac:dyDescent="0.25">
      <c r="A122" s="101">
        <v>92</v>
      </c>
      <c r="B122" s="713" t="s">
        <v>220</v>
      </c>
      <c r="C122" s="714"/>
      <c r="D122" s="150"/>
      <c r="E122" s="150"/>
      <c r="F122" s="150"/>
      <c r="G122" s="150"/>
      <c r="H122" s="150"/>
      <c r="I122" s="150"/>
      <c r="J122" s="150"/>
      <c r="K122" s="310">
        <v>0</v>
      </c>
      <c r="L122" s="119"/>
      <c r="M122" s="119">
        <f t="shared" si="7"/>
        <v>0</v>
      </c>
      <c r="N122" s="104">
        <v>220</v>
      </c>
      <c r="O122" s="163" t="s">
        <v>67</v>
      </c>
      <c r="P122" s="14">
        <f>(K112*M125)+((P96*K140)/60)+((P96*K141)/60)+K139</f>
        <v>100.78333333333333</v>
      </c>
    </row>
    <row r="123" spans="1:16" x14ac:dyDescent="0.25">
      <c r="A123" s="101">
        <v>93</v>
      </c>
      <c r="B123" s="713" t="s">
        <v>221</v>
      </c>
      <c r="C123" s="714"/>
      <c r="D123" s="150"/>
      <c r="E123" s="150"/>
      <c r="F123" s="150"/>
      <c r="G123" s="150"/>
      <c r="H123" s="150"/>
      <c r="I123" s="150"/>
      <c r="J123" s="150"/>
      <c r="K123" s="310">
        <v>0</v>
      </c>
      <c r="L123" s="119"/>
      <c r="M123" s="119">
        <f t="shared" si="7"/>
        <v>0</v>
      </c>
      <c r="N123" s="104">
        <v>221</v>
      </c>
      <c r="O123" s="165" t="s">
        <v>125</v>
      </c>
      <c r="P123" s="167">
        <f>P117/P93</f>
        <v>39.596607754036626</v>
      </c>
    </row>
    <row r="124" spans="1:16" ht="14.4" thickBot="1" x14ac:dyDescent="0.3">
      <c r="A124" s="109">
        <v>94</v>
      </c>
      <c r="B124" s="715" t="s">
        <v>222</v>
      </c>
      <c r="C124" s="716"/>
      <c r="D124" s="215"/>
      <c r="E124" s="215"/>
      <c r="F124" s="215"/>
      <c r="G124" s="215"/>
      <c r="H124" s="215"/>
      <c r="I124" s="215"/>
      <c r="J124" s="215"/>
      <c r="K124" s="311">
        <v>0</v>
      </c>
      <c r="L124" s="226"/>
      <c r="M124" s="119">
        <f t="shared" si="7"/>
        <v>0</v>
      </c>
      <c r="N124" s="104">
        <v>222</v>
      </c>
      <c r="O124" s="165" t="s">
        <v>166</v>
      </c>
      <c r="P124" s="167">
        <f>P119/P93</f>
        <v>104.8790412845738</v>
      </c>
    </row>
    <row r="125" spans="1:16" x14ac:dyDescent="0.25">
      <c r="D125" s="144"/>
      <c r="E125" s="144"/>
      <c r="F125" s="144"/>
      <c r="G125" s="144"/>
      <c r="H125" s="144"/>
      <c r="I125" s="144"/>
      <c r="J125" s="144"/>
      <c r="K125" s="144"/>
      <c r="L125" s="130"/>
      <c r="M125" s="246">
        <f>SUMIF(M115:M124,1,M115:M124)</f>
        <v>4</v>
      </c>
      <c r="N125" s="104">
        <v>223</v>
      </c>
      <c r="O125" s="165" t="s">
        <v>118</v>
      </c>
      <c r="P125" s="174">
        <f>P122/P93</f>
        <v>1.2007991082751046</v>
      </c>
    </row>
    <row r="126" spans="1:16" x14ac:dyDescent="0.25">
      <c r="D126" s="144"/>
      <c r="E126" s="144"/>
      <c r="F126" s="144"/>
      <c r="G126" s="144"/>
      <c r="H126" s="144"/>
      <c r="I126" s="144"/>
      <c r="J126" s="144"/>
      <c r="K126" s="144"/>
      <c r="L126" s="130"/>
      <c r="M126" s="234"/>
      <c r="N126" s="104">
        <v>224</v>
      </c>
      <c r="O126" s="176" t="s">
        <v>170</v>
      </c>
      <c r="P126" s="217">
        <f>P121/P93</f>
        <v>65.282433530537176</v>
      </c>
    </row>
    <row r="127" spans="1:16" ht="14.4" thickBot="1" x14ac:dyDescent="0.3">
      <c r="D127" s="94" t="s">
        <v>68</v>
      </c>
      <c r="E127" s="94" t="s">
        <v>69</v>
      </c>
      <c r="F127" s="94" t="s">
        <v>70</v>
      </c>
      <c r="G127" s="94" t="s">
        <v>71</v>
      </c>
      <c r="H127" s="94" t="s">
        <v>3</v>
      </c>
      <c r="I127" s="94" t="s">
        <v>75</v>
      </c>
      <c r="J127" s="94" t="s">
        <v>2</v>
      </c>
      <c r="K127" s="146" t="s">
        <v>210</v>
      </c>
      <c r="L127" s="144"/>
      <c r="M127" s="100"/>
      <c r="N127" s="180">
        <v>225</v>
      </c>
      <c r="O127" s="181" t="s">
        <v>167</v>
      </c>
      <c r="P127" s="249">
        <f>P121/P122</f>
        <v>54.365824458607854</v>
      </c>
    </row>
    <row r="128" spans="1:16" ht="14.4" thickTop="1" x14ac:dyDescent="0.25">
      <c r="A128" s="95">
        <v>95</v>
      </c>
      <c r="B128" s="721" t="s">
        <v>94</v>
      </c>
      <c r="C128" s="722"/>
      <c r="D128" s="651">
        <v>0.4</v>
      </c>
      <c r="E128" s="651">
        <v>0.4</v>
      </c>
      <c r="F128" s="651">
        <v>0.4</v>
      </c>
      <c r="G128" s="651">
        <v>0.4</v>
      </c>
      <c r="H128" s="651">
        <v>0.4</v>
      </c>
      <c r="I128" s="651">
        <v>0.4</v>
      </c>
      <c r="J128" s="250"/>
      <c r="K128" s="251"/>
      <c r="L128" s="119"/>
      <c r="M128" s="100"/>
    </row>
    <row r="129" spans="1:28" x14ac:dyDescent="0.25">
      <c r="A129" s="101">
        <v>96</v>
      </c>
      <c r="B129" s="709" t="s">
        <v>448</v>
      </c>
      <c r="C129" s="710"/>
      <c r="D129" s="652">
        <v>0.3</v>
      </c>
      <c r="E129" s="652">
        <v>0.3</v>
      </c>
      <c r="F129" s="652">
        <v>0.3</v>
      </c>
      <c r="G129" s="652">
        <v>0.3</v>
      </c>
      <c r="H129" s="652">
        <v>0.3</v>
      </c>
      <c r="I129" s="652">
        <v>0.3</v>
      </c>
      <c r="J129" s="252"/>
      <c r="K129" s="253"/>
      <c r="L129" s="119"/>
      <c r="M129" s="100"/>
    </row>
    <row r="130" spans="1:28" x14ac:dyDescent="0.25">
      <c r="A130" s="101">
        <v>97</v>
      </c>
      <c r="B130" s="122" t="s">
        <v>449</v>
      </c>
      <c r="C130" s="122"/>
      <c r="D130" s="652">
        <v>3</v>
      </c>
      <c r="E130" s="652">
        <v>3</v>
      </c>
      <c r="F130" s="652">
        <v>3</v>
      </c>
      <c r="G130" s="652">
        <v>3</v>
      </c>
      <c r="H130" s="652">
        <v>3</v>
      </c>
      <c r="I130" s="652">
        <v>3</v>
      </c>
      <c r="J130" s="252"/>
      <c r="K130" s="253"/>
      <c r="L130" s="119"/>
      <c r="M130" s="100"/>
      <c r="AA130" s="735"/>
    </row>
    <row r="131" spans="1:28" x14ac:dyDescent="0.25">
      <c r="A131" s="101">
        <v>98</v>
      </c>
      <c r="B131" s="709" t="s">
        <v>52</v>
      </c>
      <c r="C131" s="710"/>
      <c r="D131" s="652">
        <v>8</v>
      </c>
      <c r="E131" s="652">
        <v>8</v>
      </c>
      <c r="F131" s="652">
        <v>8</v>
      </c>
      <c r="G131" s="652">
        <v>8</v>
      </c>
      <c r="H131" s="652">
        <v>8</v>
      </c>
      <c r="I131" s="652">
        <v>15</v>
      </c>
      <c r="J131" s="252"/>
      <c r="K131" s="253"/>
      <c r="L131" s="119"/>
      <c r="M131" s="100"/>
    </row>
    <row r="132" spans="1:28" x14ac:dyDescent="0.25">
      <c r="A132" s="101">
        <v>99</v>
      </c>
      <c r="B132" s="709" t="s">
        <v>54</v>
      </c>
      <c r="C132" s="710"/>
      <c r="D132" s="652">
        <v>3</v>
      </c>
      <c r="E132" s="652">
        <v>3</v>
      </c>
      <c r="F132" s="652">
        <v>3</v>
      </c>
      <c r="G132" s="652">
        <v>3</v>
      </c>
      <c r="H132" s="652">
        <v>3</v>
      </c>
      <c r="I132" s="652">
        <v>3</v>
      </c>
      <c r="J132" s="254"/>
      <c r="K132" s="255"/>
      <c r="L132" s="119"/>
      <c r="M132" s="88"/>
    </row>
    <row r="133" spans="1:28" x14ac:dyDescent="0.25">
      <c r="A133" s="101"/>
      <c r="B133" s="107"/>
      <c r="C133" s="683"/>
      <c r="D133" s="150"/>
      <c r="E133" s="150"/>
      <c r="F133" s="150"/>
      <c r="G133" s="150"/>
      <c r="H133" s="150"/>
      <c r="I133" s="150"/>
      <c r="J133" s="256"/>
      <c r="K133" s="257"/>
      <c r="L133" s="642"/>
      <c r="M133" s="100"/>
    </row>
    <row r="134" spans="1:28" x14ac:dyDescent="0.25">
      <c r="A134" s="101">
        <v>100</v>
      </c>
      <c r="B134" s="122" t="s">
        <v>450</v>
      </c>
      <c r="C134" s="122"/>
      <c r="D134" s="673">
        <v>0.5</v>
      </c>
      <c r="E134" s="673">
        <v>0.5</v>
      </c>
      <c r="F134" s="673">
        <v>0.5</v>
      </c>
      <c r="G134" s="673">
        <v>0.5</v>
      </c>
      <c r="H134" s="673">
        <v>0.5</v>
      </c>
      <c r="I134" s="673">
        <v>0.5</v>
      </c>
      <c r="J134" s="674">
        <v>0.5</v>
      </c>
      <c r="K134" s="675">
        <v>0.5</v>
      </c>
      <c r="L134" s="119"/>
      <c r="M134" s="100"/>
    </row>
    <row r="135" spans="1:28" x14ac:dyDescent="0.25">
      <c r="A135" s="101">
        <v>101</v>
      </c>
      <c r="B135" s="122" t="s">
        <v>58</v>
      </c>
      <c r="C135" s="122"/>
      <c r="D135" s="652">
        <v>0.8</v>
      </c>
      <c r="E135" s="652">
        <v>0.8</v>
      </c>
      <c r="F135" s="652">
        <v>0.8</v>
      </c>
      <c r="G135" s="652">
        <v>0.8</v>
      </c>
      <c r="H135" s="652">
        <v>0.8</v>
      </c>
      <c r="I135" s="652">
        <v>0.8</v>
      </c>
      <c r="J135" s="653">
        <v>0.8</v>
      </c>
      <c r="K135" s="52">
        <v>0.8</v>
      </c>
      <c r="L135" s="119"/>
      <c r="M135" s="88"/>
    </row>
    <row r="136" spans="1:28" x14ac:dyDescent="0.25">
      <c r="A136" s="101">
        <v>102</v>
      </c>
      <c r="B136" s="122" t="s">
        <v>59</v>
      </c>
      <c r="C136" s="122"/>
      <c r="D136" s="652">
        <v>0.2</v>
      </c>
      <c r="E136" s="652">
        <v>0.2</v>
      </c>
      <c r="F136" s="652">
        <v>0.2</v>
      </c>
      <c r="G136" s="652">
        <v>0.2</v>
      </c>
      <c r="H136" s="652">
        <v>0.2</v>
      </c>
      <c r="I136" s="652">
        <v>0.2</v>
      </c>
      <c r="J136" s="653">
        <v>0.2</v>
      </c>
      <c r="K136" s="52">
        <v>0.2</v>
      </c>
      <c r="L136" s="642"/>
    </row>
    <row r="137" spans="1:28" x14ac:dyDescent="0.25">
      <c r="A137" s="101">
        <v>103</v>
      </c>
      <c r="B137" s="122" t="s">
        <v>451</v>
      </c>
      <c r="C137" s="122"/>
      <c r="D137" s="652">
        <v>0.2</v>
      </c>
      <c r="E137" s="652">
        <v>0.2</v>
      </c>
      <c r="F137" s="652">
        <v>0.2</v>
      </c>
      <c r="G137" s="652">
        <v>0.2</v>
      </c>
      <c r="H137" s="652">
        <v>0.2</v>
      </c>
      <c r="I137" s="652">
        <v>0.2</v>
      </c>
      <c r="J137" s="653">
        <v>0.2</v>
      </c>
      <c r="K137" s="52">
        <v>0.2</v>
      </c>
      <c r="L137" s="144"/>
    </row>
    <row r="138" spans="1:28" x14ac:dyDescent="0.25">
      <c r="A138" s="101">
        <v>104</v>
      </c>
      <c r="B138" s="162" t="s">
        <v>62</v>
      </c>
      <c r="C138" s="122"/>
      <c r="D138" s="654">
        <v>0.12</v>
      </c>
      <c r="E138" s="654">
        <v>0.12</v>
      </c>
      <c r="F138" s="654">
        <v>0.12</v>
      </c>
      <c r="G138" s="654">
        <v>0.12</v>
      </c>
      <c r="H138" s="654">
        <v>0.12</v>
      </c>
      <c r="I138" s="654">
        <v>0.12</v>
      </c>
      <c r="J138" s="655">
        <v>0.12</v>
      </c>
      <c r="K138" s="648">
        <v>0.12</v>
      </c>
      <c r="L138" s="144"/>
    </row>
    <row r="139" spans="1:28" x14ac:dyDescent="0.25">
      <c r="A139" s="101">
        <v>105</v>
      </c>
      <c r="B139" s="122" t="s">
        <v>474</v>
      </c>
      <c r="C139" s="122"/>
      <c r="D139" s="678">
        <v>2</v>
      </c>
      <c r="E139" s="678">
        <v>2</v>
      </c>
      <c r="F139" s="678">
        <v>2</v>
      </c>
      <c r="G139" s="678">
        <v>2</v>
      </c>
      <c r="H139" s="678">
        <v>2</v>
      </c>
      <c r="I139" s="678">
        <v>2</v>
      </c>
      <c r="J139" s="734"/>
      <c r="K139" s="305">
        <v>2</v>
      </c>
      <c r="L139" s="144"/>
      <c r="AB139" s="85"/>
    </row>
    <row r="140" spans="1:28" x14ac:dyDescent="0.25">
      <c r="A140" s="101">
        <v>106</v>
      </c>
      <c r="B140" s="709" t="s">
        <v>63</v>
      </c>
      <c r="C140" s="710"/>
      <c r="D140" s="678">
        <v>3</v>
      </c>
      <c r="E140" s="678">
        <v>3</v>
      </c>
      <c r="F140" s="678">
        <v>3</v>
      </c>
      <c r="G140" s="678">
        <v>3</v>
      </c>
      <c r="H140" s="678">
        <v>3</v>
      </c>
      <c r="I140" s="678">
        <v>3</v>
      </c>
      <c r="J140" s="679">
        <v>3</v>
      </c>
      <c r="K140" s="305">
        <v>3</v>
      </c>
      <c r="L140" s="144"/>
    </row>
    <row r="141" spans="1:28" x14ac:dyDescent="0.25">
      <c r="A141" s="101">
        <v>107</v>
      </c>
      <c r="B141" s="709" t="s">
        <v>64</v>
      </c>
      <c r="C141" s="710"/>
      <c r="D141" s="678">
        <v>10</v>
      </c>
      <c r="E141" s="678">
        <v>10</v>
      </c>
      <c r="F141" s="678">
        <v>10</v>
      </c>
      <c r="G141" s="678">
        <v>10</v>
      </c>
      <c r="H141" s="678">
        <v>10</v>
      </c>
      <c r="I141" s="678">
        <v>10</v>
      </c>
      <c r="J141" s="679">
        <v>10</v>
      </c>
      <c r="K141" s="305">
        <v>10</v>
      </c>
      <c r="L141" s="144"/>
    </row>
    <row r="142" spans="1:28" x14ac:dyDescent="0.25">
      <c r="A142" s="101"/>
      <c r="B142" s="107"/>
      <c r="C142" s="683"/>
      <c r="D142" s="646"/>
      <c r="E142" s="646"/>
      <c r="F142" s="646"/>
      <c r="G142" s="646"/>
      <c r="H142" s="646"/>
      <c r="I142" s="646"/>
      <c r="J142" s="656"/>
      <c r="K142" s="657"/>
      <c r="L142" s="144"/>
    </row>
    <row r="143" spans="1:28" ht="14.4" thickBot="1" x14ac:dyDescent="0.3">
      <c r="A143" s="109">
        <v>108</v>
      </c>
      <c r="B143" s="214" t="s">
        <v>452</v>
      </c>
      <c r="C143" s="214"/>
      <c r="D143" s="658">
        <v>20</v>
      </c>
      <c r="E143" s="658">
        <v>20</v>
      </c>
      <c r="F143" s="658">
        <v>20</v>
      </c>
      <c r="G143" s="658">
        <v>20</v>
      </c>
      <c r="H143" s="658">
        <v>20</v>
      </c>
      <c r="I143" s="658">
        <v>20</v>
      </c>
      <c r="J143" s="659">
        <v>20</v>
      </c>
      <c r="K143" s="660">
        <v>25</v>
      </c>
      <c r="L143" s="144"/>
    </row>
    <row r="144" spans="1:28" x14ac:dyDescent="0.25">
      <c r="A144" s="685"/>
      <c r="B144" s="726"/>
      <c r="C144" s="726"/>
      <c r="D144" s="259"/>
      <c r="E144" s="259"/>
      <c r="F144" s="259"/>
      <c r="G144" s="259"/>
      <c r="H144" s="259"/>
      <c r="I144" s="259"/>
      <c r="J144" s="259"/>
      <c r="K144" s="259"/>
    </row>
    <row r="146" spans="1:8" ht="28.8" thickBot="1" x14ac:dyDescent="0.55000000000000004">
      <c r="B146" s="92" t="s">
        <v>249</v>
      </c>
    </row>
    <row r="147" spans="1:8" ht="72" customHeight="1" thickBot="1" x14ac:dyDescent="0.3">
      <c r="D147" s="260" t="s">
        <v>72</v>
      </c>
      <c r="E147" s="563"/>
      <c r="F147" s="691" t="s">
        <v>525</v>
      </c>
      <c r="G147" s="692"/>
    </row>
    <row r="148" spans="1:8" x14ac:dyDescent="0.25">
      <c r="A148" s="95">
        <v>109</v>
      </c>
      <c r="B148" s="224" t="s">
        <v>251</v>
      </c>
      <c r="C148" s="148"/>
      <c r="D148" s="661">
        <f>D149+D150+D151+D152</f>
        <v>200</v>
      </c>
      <c r="E148" s="74"/>
      <c r="F148" s="565"/>
      <c r="G148" s="566"/>
      <c r="H148" s="261"/>
    </row>
    <row r="149" spans="1:8" x14ac:dyDescent="0.25">
      <c r="A149" s="101">
        <v>110</v>
      </c>
      <c r="B149" s="683" t="s">
        <v>127</v>
      </c>
      <c r="C149" s="683"/>
      <c r="D149" s="662">
        <v>100</v>
      </c>
      <c r="E149" s="684"/>
      <c r="F149" s="689">
        <f>D149/(D24/100)/D134</f>
        <v>500</v>
      </c>
      <c r="G149" s="690"/>
      <c r="H149" s="573" t="s">
        <v>527</v>
      </c>
    </row>
    <row r="150" spans="1:8" x14ac:dyDescent="0.25">
      <c r="A150" s="101">
        <v>111</v>
      </c>
      <c r="B150" s="683" t="s">
        <v>128</v>
      </c>
      <c r="C150" s="683"/>
      <c r="D150" s="662">
        <v>50</v>
      </c>
      <c r="E150" s="564"/>
      <c r="F150" s="689">
        <f>D150/(E24/100)/E134</f>
        <v>250</v>
      </c>
      <c r="G150" s="690"/>
      <c r="H150" s="574"/>
    </row>
    <row r="151" spans="1:8" x14ac:dyDescent="0.25">
      <c r="A151" s="101">
        <v>112</v>
      </c>
      <c r="B151" s="683" t="s">
        <v>129</v>
      </c>
      <c r="C151" s="683"/>
      <c r="D151" s="662">
        <v>50</v>
      </c>
      <c r="E151" s="564"/>
      <c r="F151" s="689">
        <f>D151/(F24/100)/F134</f>
        <v>250</v>
      </c>
      <c r="G151" s="690"/>
      <c r="H151" s="573" t="s">
        <v>529</v>
      </c>
    </row>
    <row r="152" spans="1:8" x14ac:dyDescent="0.25">
      <c r="A152" s="101">
        <v>113</v>
      </c>
      <c r="B152" s="683" t="s">
        <v>130</v>
      </c>
      <c r="C152" s="683"/>
      <c r="D152" s="662">
        <v>0</v>
      </c>
      <c r="E152" s="564"/>
      <c r="F152" s="689">
        <f>D152/(G37/100)/G134</f>
        <v>0</v>
      </c>
      <c r="G152" s="690"/>
    </row>
    <row r="153" spans="1:8" x14ac:dyDescent="0.25">
      <c r="A153" s="101"/>
      <c r="B153" s="683"/>
      <c r="C153" s="683"/>
      <c r="D153" s="663"/>
      <c r="E153" s="119"/>
      <c r="F153" s="668"/>
      <c r="G153" s="669"/>
      <c r="H153" s="86" t="s">
        <v>528</v>
      </c>
    </row>
    <row r="154" spans="1:8" x14ac:dyDescent="0.25">
      <c r="A154" s="101">
        <v>114</v>
      </c>
      <c r="B154" s="681" t="s">
        <v>453</v>
      </c>
      <c r="C154" s="683"/>
      <c r="D154" s="664">
        <f>D155+D156+D157</f>
        <v>2500</v>
      </c>
      <c r="E154" s="119"/>
      <c r="F154" s="668"/>
      <c r="G154" s="669"/>
    </row>
    <row r="155" spans="1:8" x14ac:dyDescent="0.25">
      <c r="A155" s="101">
        <v>115</v>
      </c>
      <c r="B155" s="683" t="s">
        <v>131</v>
      </c>
      <c r="C155" s="683"/>
      <c r="D155" s="662">
        <v>500</v>
      </c>
      <c r="E155" s="564"/>
      <c r="F155" s="689">
        <f>D155/(H60/100)/H134</f>
        <v>2500</v>
      </c>
      <c r="G155" s="690"/>
    </row>
    <row r="156" spans="1:8" x14ac:dyDescent="0.25">
      <c r="A156" s="101">
        <v>116</v>
      </c>
      <c r="B156" s="107" t="s">
        <v>132</v>
      </c>
      <c r="C156" s="683"/>
      <c r="D156" s="46">
        <v>500</v>
      </c>
      <c r="E156" s="564"/>
      <c r="F156" s="689">
        <f>D156/(I75/100)/I134</f>
        <v>2500</v>
      </c>
      <c r="G156" s="690"/>
    </row>
    <row r="157" spans="1:8" x14ac:dyDescent="0.25">
      <c r="A157" s="101">
        <v>117</v>
      </c>
      <c r="B157" s="262" t="s">
        <v>133</v>
      </c>
      <c r="C157" s="262"/>
      <c r="D157" s="662">
        <v>1500</v>
      </c>
      <c r="E157" s="564"/>
      <c r="F157" s="689">
        <f>D157/J134</f>
        <v>3000</v>
      </c>
      <c r="G157" s="690"/>
    </row>
    <row r="158" spans="1:8" x14ac:dyDescent="0.25">
      <c r="A158" s="101"/>
      <c r="B158" s="107"/>
      <c r="C158" s="683"/>
      <c r="D158" s="665"/>
      <c r="E158" s="100"/>
      <c r="F158" s="670"/>
      <c r="G158" s="671"/>
    </row>
    <row r="159" spans="1:8" ht="14.4" thickBot="1" x14ac:dyDescent="0.3">
      <c r="A159" s="109">
        <v>118</v>
      </c>
      <c r="B159" s="312" t="s">
        <v>526</v>
      </c>
      <c r="C159" s="247"/>
      <c r="D159" s="666">
        <v>500</v>
      </c>
      <c r="E159" s="564"/>
      <c r="F159" s="693">
        <f>D159/(K111/100)/K134</f>
        <v>2500</v>
      </c>
      <c r="G159" s="694"/>
    </row>
    <row r="160" spans="1:8" ht="14.4" thickBot="1" x14ac:dyDescent="0.3">
      <c r="D160" s="667"/>
    </row>
    <row r="161" spans="1:12" ht="26.4" customHeight="1" thickBot="1" x14ac:dyDescent="0.3">
      <c r="A161" s="638">
        <v>119</v>
      </c>
      <c r="B161" s="687" t="s">
        <v>554</v>
      </c>
      <c r="C161" s="688"/>
      <c r="D161" s="676">
        <v>300</v>
      </c>
    </row>
    <row r="163" spans="1:12" ht="27" customHeight="1" x14ac:dyDescent="0.5">
      <c r="B163" s="92" t="s">
        <v>250</v>
      </c>
    </row>
    <row r="164" spans="1:12" ht="14.4" thickBot="1" x14ac:dyDescent="0.3"/>
    <row r="165" spans="1:12" x14ac:dyDescent="0.25">
      <c r="A165" s="95">
        <v>120</v>
      </c>
      <c r="B165" s="263" t="s">
        <v>136</v>
      </c>
      <c r="C165" s="264"/>
      <c r="D165" s="197" t="s">
        <v>68</v>
      </c>
      <c r="E165" s="197" t="s">
        <v>69</v>
      </c>
      <c r="F165" s="197" t="s">
        <v>70</v>
      </c>
      <c r="G165" s="197" t="s">
        <v>71</v>
      </c>
      <c r="H165" s="197" t="s">
        <v>3</v>
      </c>
      <c r="I165" s="197" t="s">
        <v>75</v>
      </c>
      <c r="J165" s="265" t="s">
        <v>2</v>
      </c>
      <c r="K165" s="637" t="s">
        <v>210</v>
      </c>
      <c r="L165" s="633" t="s">
        <v>553</v>
      </c>
    </row>
    <row r="166" spans="1:12" x14ac:dyDescent="0.25">
      <c r="A166" s="101"/>
      <c r="B166" s="266"/>
      <c r="C166" s="267"/>
      <c r="D166" s="150" t="s">
        <v>134</v>
      </c>
      <c r="E166" s="150" t="s">
        <v>134</v>
      </c>
      <c r="F166" s="150" t="s">
        <v>134</v>
      </c>
      <c r="G166" s="150" t="s">
        <v>134</v>
      </c>
      <c r="H166" s="150" t="s">
        <v>134</v>
      </c>
      <c r="I166" s="150" t="s">
        <v>134</v>
      </c>
      <c r="J166" s="258" t="s">
        <v>135</v>
      </c>
      <c r="K166" s="258" t="s">
        <v>134</v>
      </c>
      <c r="L166" s="268" t="s">
        <v>396</v>
      </c>
    </row>
    <row r="167" spans="1:12" x14ac:dyDescent="0.25">
      <c r="A167" s="101">
        <v>121</v>
      </c>
      <c r="B167" s="269" t="s">
        <v>125</v>
      </c>
      <c r="C167" s="267"/>
      <c r="D167" s="270">
        <f t="shared" ref="D167:G168" si="8">P43</f>
        <v>22.81128571428571</v>
      </c>
      <c r="E167" s="270">
        <f t="shared" si="8"/>
        <v>25.221999999999998</v>
      </c>
      <c r="F167" s="270">
        <f t="shared" si="8"/>
        <v>21.096999999999998</v>
      </c>
      <c r="G167" s="270">
        <f t="shared" si="8"/>
        <v>20.581734424920128</v>
      </c>
      <c r="H167" s="270">
        <f>P83</f>
        <v>35.405401801801801</v>
      </c>
      <c r="I167" s="270">
        <f>Q83</f>
        <v>27.905810810810809</v>
      </c>
      <c r="J167" s="271">
        <f>W83</f>
        <v>6.7565</v>
      </c>
      <c r="K167" s="271">
        <f>P123</f>
        <v>39.596607754036626</v>
      </c>
      <c r="L167" s="64">
        <f>'3. Verkostungen'!D22</f>
        <v>26.8</v>
      </c>
    </row>
    <row r="168" spans="1:12" x14ac:dyDescent="0.25">
      <c r="A168" s="101">
        <v>122</v>
      </c>
      <c r="B168" s="199" t="s">
        <v>166</v>
      </c>
      <c r="C168" s="272"/>
      <c r="D168" s="273">
        <f t="shared" si="8"/>
        <v>75.630252100840337</v>
      </c>
      <c r="E168" s="273">
        <f t="shared" si="8"/>
        <v>75.630252100840337</v>
      </c>
      <c r="F168" s="273">
        <f t="shared" si="8"/>
        <v>75.630252100840337</v>
      </c>
      <c r="G168" s="273">
        <f t="shared" si="8"/>
        <v>75.509437001637721</v>
      </c>
      <c r="H168" s="274">
        <f>P84</f>
        <v>84.033613445378165</v>
      </c>
      <c r="I168" s="274">
        <f>Q84</f>
        <v>84.033613445378165</v>
      </c>
      <c r="J168" s="275">
        <f>W84</f>
        <v>33.613445378151262</v>
      </c>
      <c r="K168" s="275">
        <f>P124</f>
        <v>104.8790412845738</v>
      </c>
      <c r="L168" s="65">
        <f>'3. Verkostungen'!D23</f>
        <v>29.411764705882355</v>
      </c>
    </row>
    <row r="169" spans="1:12" x14ac:dyDescent="0.25">
      <c r="A169" s="101">
        <v>123</v>
      </c>
      <c r="B169" s="199" t="s">
        <v>170</v>
      </c>
      <c r="C169" s="267"/>
      <c r="D169" s="270">
        <f>P46</f>
        <v>52.818966386554621</v>
      </c>
      <c r="E169" s="270">
        <f>Q46</f>
        <v>50.408252100840343</v>
      </c>
      <c r="F169" s="270">
        <f>R46</f>
        <v>54.533252100840343</v>
      </c>
      <c r="G169" s="270">
        <f>S46</f>
        <v>54.9277025767176</v>
      </c>
      <c r="H169" s="270">
        <f>P86</f>
        <v>48.628211643576357</v>
      </c>
      <c r="I169" s="270">
        <f>Q86</f>
        <v>56.127802634567352</v>
      </c>
      <c r="J169" s="271">
        <f>W86</f>
        <v>26.856945378151263</v>
      </c>
      <c r="K169" s="271">
        <f>P126</f>
        <v>65.282433530537176</v>
      </c>
      <c r="L169" s="64">
        <f>'3. Verkostungen'!D25</f>
        <v>2.6117647058823543</v>
      </c>
    </row>
    <row r="170" spans="1:12" x14ac:dyDescent="0.25">
      <c r="A170" s="101">
        <v>124</v>
      </c>
      <c r="B170" s="269" t="s">
        <v>473</v>
      </c>
      <c r="C170" s="267"/>
      <c r="D170" s="276">
        <f>P45</f>
        <v>1.2467857142857142</v>
      </c>
      <c r="E170" s="276">
        <f>Q45</f>
        <v>1.1791666666666667</v>
      </c>
      <c r="F170" s="276">
        <f>R45</f>
        <v>1.6950000000000001</v>
      </c>
      <c r="G170" s="276">
        <f>S45</f>
        <v>1.1236188764643238</v>
      </c>
      <c r="H170" s="276">
        <f>P85</f>
        <v>1.2134054054054053</v>
      </c>
      <c r="I170" s="276">
        <f>Q85</f>
        <v>1.1633333333333333</v>
      </c>
      <c r="J170" s="277">
        <f>W85</f>
        <v>0.47133333333333338</v>
      </c>
      <c r="K170" s="277">
        <f>P125</f>
        <v>1.2007991082751046</v>
      </c>
      <c r="L170" s="65">
        <f>'3. Verkostungen'!D24</f>
        <v>0.56111111111111112</v>
      </c>
    </row>
    <row r="171" spans="1:12" ht="14.4" thickBot="1" x14ac:dyDescent="0.3">
      <c r="A171" s="109">
        <v>125</v>
      </c>
      <c r="B171" s="278" t="s">
        <v>455</v>
      </c>
      <c r="C171" s="279"/>
      <c r="D171" s="280">
        <f>P47</f>
        <v>42.364109390533649</v>
      </c>
      <c r="E171" s="280">
        <f>Q47</f>
        <v>42.74904771802715</v>
      </c>
      <c r="F171" s="280">
        <f>R47</f>
        <v>32.173010088991354</v>
      </c>
      <c r="G171" s="280">
        <f>S47</f>
        <v>48.884638490195051</v>
      </c>
      <c r="H171" s="281">
        <f>P87</f>
        <v>40.075815903695776</v>
      </c>
      <c r="I171" s="282">
        <f>Q87</f>
        <v>48.247394814814342</v>
      </c>
      <c r="J171" s="283">
        <f>W87</f>
        <v>56.980789345441146</v>
      </c>
      <c r="K171" s="283">
        <f>P127</f>
        <v>54.365824458607854</v>
      </c>
      <c r="L171" s="66">
        <f>'3. Verkostungen'!D26</f>
        <v>4.6546301688992449</v>
      </c>
    </row>
    <row r="173" spans="1:12" x14ac:dyDescent="0.25">
      <c r="A173" s="137"/>
      <c r="B173" s="129"/>
      <c r="C173" s="100"/>
      <c r="D173" s="100"/>
      <c r="E173" s="100"/>
      <c r="F173" s="100"/>
      <c r="G173" s="100"/>
      <c r="H173" s="100"/>
    </row>
    <row r="174" spans="1:12" ht="14.4" thickBot="1" x14ac:dyDescent="0.3">
      <c r="A174" s="137"/>
      <c r="B174" s="138"/>
      <c r="C174" s="100"/>
      <c r="D174" s="119"/>
      <c r="E174" s="119"/>
      <c r="F174" s="119"/>
      <c r="G174" s="119"/>
      <c r="H174" s="100"/>
    </row>
    <row r="175" spans="1:12" x14ac:dyDescent="0.25">
      <c r="A175" s="95">
        <v>126</v>
      </c>
      <c r="B175" s="284" t="s">
        <v>73</v>
      </c>
      <c r="C175" s="285"/>
      <c r="D175" s="197" t="s">
        <v>68</v>
      </c>
      <c r="E175" s="197" t="s">
        <v>69</v>
      </c>
      <c r="F175" s="197" t="s">
        <v>70</v>
      </c>
      <c r="G175" s="197" t="s">
        <v>71</v>
      </c>
      <c r="H175" s="197" t="s">
        <v>3</v>
      </c>
      <c r="I175" s="197" t="s">
        <v>75</v>
      </c>
      <c r="J175" s="265" t="s">
        <v>2</v>
      </c>
      <c r="K175" s="637" t="s">
        <v>234</v>
      </c>
      <c r="L175" s="634" t="s">
        <v>553</v>
      </c>
    </row>
    <row r="176" spans="1:12" x14ac:dyDescent="0.25">
      <c r="A176" s="101">
        <v>127</v>
      </c>
      <c r="B176" s="286" t="s">
        <v>74</v>
      </c>
      <c r="C176" s="287"/>
      <c r="D176" s="19">
        <f>(D149*D167)</f>
        <v>2281.1285714285709</v>
      </c>
      <c r="E176" s="19">
        <f>(D150*E167)</f>
        <v>1261.0999999999999</v>
      </c>
      <c r="F176" s="19">
        <f>(D151*F167)</f>
        <v>1054.8499999999999</v>
      </c>
      <c r="G176" s="19">
        <f>(D152*G167)</f>
        <v>0</v>
      </c>
      <c r="H176" s="19">
        <f>D155*H167</f>
        <v>17702.700900900902</v>
      </c>
      <c r="I176" s="19">
        <f>D156*I167</f>
        <v>13952.905405405405</v>
      </c>
      <c r="J176" s="288">
        <f>D157*J167</f>
        <v>10134.75</v>
      </c>
      <c r="K176" s="288">
        <f>D159*K167</f>
        <v>19798.303877018312</v>
      </c>
      <c r="L176" s="67">
        <f>L167*D161</f>
        <v>8040</v>
      </c>
    </row>
    <row r="177" spans="1:14" x14ac:dyDescent="0.25">
      <c r="A177" s="101">
        <v>128</v>
      </c>
      <c r="B177" s="286" t="s">
        <v>140</v>
      </c>
      <c r="C177" s="287"/>
      <c r="D177" s="289">
        <f>(D149*D168)</f>
        <v>7563.0252100840335</v>
      </c>
      <c r="E177" s="289">
        <f>(D150*E168)</f>
        <v>3781.5126050420167</v>
      </c>
      <c r="F177" s="289">
        <f>(D151*F168)</f>
        <v>3781.5126050420167</v>
      </c>
      <c r="G177" s="289">
        <f>(D152*G168)</f>
        <v>0</v>
      </c>
      <c r="H177" s="289">
        <f>D155*H168</f>
        <v>42016.806722689085</v>
      </c>
      <c r="I177" s="289">
        <f>D156*I168</f>
        <v>42016.806722689085</v>
      </c>
      <c r="J177" s="290">
        <f>D157*J168</f>
        <v>50420.168067226892</v>
      </c>
      <c r="K177" s="290">
        <f>D159*K168</f>
        <v>52439.520642286901</v>
      </c>
      <c r="L177" s="635">
        <f>L168*D161</f>
        <v>8823.5294117647063</v>
      </c>
    </row>
    <row r="178" spans="1:14" x14ac:dyDescent="0.25">
      <c r="A178" s="101">
        <v>129</v>
      </c>
      <c r="B178" s="291" t="s">
        <v>171</v>
      </c>
      <c r="C178" s="267"/>
      <c r="D178" s="19">
        <f>(D149*D169)</f>
        <v>5281.8966386554621</v>
      </c>
      <c r="E178" s="19">
        <f>(D150*E169)</f>
        <v>2520.4126050420173</v>
      </c>
      <c r="F178" s="19">
        <f>(D151*F169)</f>
        <v>2726.6626050420173</v>
      </c>
      <c r="G178" s="19">
        <f>(D152*G169)</f>
        <v>0</v>
      </c>
      <c r="H178" s="19">
        <f>D155*H169</f>
        <v>24314.10582178818</v>
      </c>
      <c r="I178" s="19">
        <f>D156*I169</f>
        <v>28063.901317283675</v>
      </c>
      <c r="J178" s="288">
        <f>D157*J169</f>
        <v>40285.418067226892</v>
      </c>
      <c r="K178" s="288">
        <f>D159*K169</f>
        <v>32641.216765268589</v>
      </c>
      <c r="L178" s="67">
        <f>L169*D161</f>
        <v>783.52941176470631</v>
      </c>
    </row>
    <row r="179" spans="1:14" ht="14.4" thickBot="1" x14ac:dyDescent="0.3">
      <c r="A179" s="109">
        <v>130</v>
      </c>
      <c r="B179" s="292" t="s">
        <v>472</v>
      </c>
      <c r="C179" s="293"/>
      <c r="D179" s="294">
        <f>(D149*D170)</f>
        <v>124.67857142857142</v>
      </c>
      <c r="E179" s="294">
        <f>(D150*E170)</f>
        <v>58.958333333333336</v>
      </c>
      <c r="F179" s="294">
        <f>(D151*F170)</f>
        <v>84.75</v>
      </c>
      <c r="G179" s="294">
        <f>(D152*G170)</f>
        <v>0</v>
      </c>
      <c r="H179" s="294">
        <f>D155*H170</f>
        <v>606.70270270270271</v>
      </c>
      <c r="I179" s="294">
        <f>D156*I170</f>
        <v>581.66666666666663</v>
      </c>
      <c r="J179" s="295">
        <f>D157*J170</f>
        <v>707.00000000000011</v>
      </c>
      <c r="K179" s="295">
        <f>D159*K170</f>
        <v>600.39955413755229</v>
      </c>
      <c r="L179" s="636">
        <f>L170*D161</f>
        <v>168.33333333333334</v>
      </c>
    </row>
    <row r="180" spans="1:14" x14ac:dyDescent="0.25">
      <c r="A180" s="112"/>
      <c r="B180" s="129"/>
      <c r="C180" s="100"/>
      <c r="D180" s="75"/>
      <c r="E180" s="75"/>
      <c r="F180" s="75"/>
      <c r="G180" s="75"/>
      <c r="H180" s="75"/>
      <c r="I180" s="75"/>
      <c r="J180" s="75"/>
      <c r="K180" s="75"/>
      <c r="L180" s="100"/>
    </row>
    <row r="181" spans="1:14" x14ac:dyDescent="0.25">
      <c r="A181" s="112"/>
      <c r="B181" s="129"/>
      <c r="C181" s="100"/>
      <c r="D181" s="75"/>
      <c r="E181" s="75"/>
      <c r="F181" s="75"/>
      <c r="G181" s="75"/>
      <c r="H181" s="75"/>
      <c r="I181" s="75"/>
      <c r="J181" s="75"/>
      <c r="K181" s="75"/>
      <c r="L181" s="100"/>
    </row>
    <row r="182" spans="1:14" ht="28.2" x14ac:dyDescent="0.5">
      <c r="B182" s="296" t="s">
        <v>73</v>
      </c>
      <c r="L182" s="100"/>
    </row>
    <row r="183" spans="1:14" ht="14.4" thickBot="1" x14ac:dyDescent="0.3">
      <c r="L183" s="100"/>
      <c r="M183" s="100"/>
      <c r="N183" s="137"/>
    </row>
    <row r="184" spans="1:14" x14ac:dyDescent="0.25">
      <c r="A184" s="95">
        <v>131</v>
      </c>
      <c r="B184" s="723" t="s">
        <v>456</v>
      </c>
      <c r="C184" s="723"/>
      <c r="D184" s="723"/>
      <c r="E184" s="680"/>
      <c r="F184" s="680"/>
      <c r="G184" s="680"/>
      <c r="H184" s="680"/>
      <c r="I184" s="695">
        <f>SUM(D176:L176)</f>
        <v>74225.738754753198</v>
      </c>
      <c r="J184" s="696"/>
      <c r="K184" s="297"/>
      <c r="L184" s="100"/>
      <c r="M184" s="100"/>
      <c r="N184" s="137"/>
    </row>
    <row r="185" spans="1:14" x14ac:dyDescent="0.25">
      <c r="A185" s="101">
        <v>132</v>
      </c>
      <c r="B185" s="724" t="s">
        <v>457</v>
      </c>
      <c r="C185" s="724"/>
      <c r="D185" s="724"/>
      <c r="E185" s="681"/>
      <c r="F185" s="681"/>
      <c r="G185" s="681"/>
      <c r="H185" s="681"/>
      <c r="I185" s="703">
        <f>SUM(D177:L177)</f>
        <v>210842.88198682471</v>
      </c>
      <c r="J185" s="704"/>
      <c r="K185" s="298"/>
      <c r="L185" s="100"/>
      <c r="M185" s="100"/>
      <c r="N185" s="137"/>
    </row>
    <row r="186" spans="1:14" x14ac:dyDescent="0.25">
      <c r="A186" s="101">
        <v>133</v>
      </c>
      <c r="B186" s="724" t="s">
        <v>169</v>
      </c>
      <c r="C186" s="724"/>
      <c r="D186" s="724"/>
      <c r="E186" s="683"/>
      <c r="F186" s="683"/>
      <c r="G186" s="683"/>
      <c r="H186" s="683"/>
      <c r="I186" s="699">
        <f>SUM(D178:L178)</f>
        <v>136617.14323207154</v>
      </c>
      <c r="J186" s="700"/>
      <c r="K186" s="297"/>
      <c r="L186" s="100"/>
      <c r="M186" s="100"/>
      <c r="N186" s="137"/>
    </row>
    <row r="187" spans="1:14" x14ac:dyDescent="0.25">
      <c r="A187" s="139">
        <v>134</v>
      </c>
      <c r="B187" s="725" t="s">
        <v>458</v>
      </c>
      <c r="C187" s="725"/>
      <c r="D187" s="725"/>
      <c r="E187" s="682"/>
      <c r="F187" s="682"/>
      <c r="G187" s="682"/>
      <c r="H187" s="682"/>
      <c r="I187" s="701">
        <f>SUM(D179:L179)</f>
        <v>2932.48916160216</v>
      </c>
      <c r="J187" s="702"/>
      <c r="K187" s="313"/>
      <c r="L187" s="100"/>
      <c r="M187" s="100"/>
      <c r="N187" s="137"/>
    </row>
    <row r="188" spans="1:14" ht="14.4" thickBot="1" x14ac:dyDescent="0.3">
      <c r="A188" s="109">
        <v>135</v>
      </c>
      <c r="B188" s="312" t="s">
        <v>278</v>
      </c>
      <c r="C188" s="312"/>
      <c r="D188" s="312"/>
      <c r="E188" s="312"/>
      <c r="F188" s="312"/>
      <c r="G188" s="312"/>
      <c r="H188" s="312"/>
      <c r="I188" s="697">
        <f>I186/I187</f>
        <v>46.587433304418767</v>
      </c>
      <c r="J188" s="698"/>
      <c r="K188" s="314"/>
      <c r="L188" s="100"/>
      <c r="M188" s="100"/>
      <c r="N188" s="137"/>
    </row>
    <row r="189" spans="1:14" x14ac:dyDescent="0.25">
      <c r="K189" s="88"/>
      <c r="L189" s="100"/>
      <c r="M189" s="100"/>
      <c r="N189" s="137"/>
    </row>
    <row r="190" spans="1:14" x14ac:dyDescent="0.25">
      <c r="B190" s="138" t="s">
        <v>144</v>
      </c>
      <c r="F190" s="79" t="s">
        <v>146</v>
      </c>
      <c r="J190" s="672">
        <v>3000</v>
      </c>
      <c r="K190" s="299"/>
      <c r="L190" s="100"/>
      <c r="M190" s="100"/>
      <c r="N190" s="137"/>
    </row>
    <row r="191" spans="1:14" x14ac:dyDescent="0.25">
      <c r="B191" s="138" t="s">
        <v>145</v>
      </c>
      <c r="F191" s="317" t="s">
        <v>574</v>
      </c>
      <c r="L191" s="100"/>
      <c r="M191" s="100"/>
      <c r="N191" s="137"/>
    </row>
    <row r="192" spans="1:14" x14ac:dyDescent="0.25">
      <c r="L192" s="100"/>
      <c r="M192" s="100"/>
      <c r="N192" s="137"/>
    </row>
    <row r="193" spans="2:14" x14ac:dyDescent="0.25">
      <c r="B193" s="316" t="s">
        <v>459</v>
      </c>
      <c r="M193" s="100"/>
      <c r="N193" s="137"/>
    </row>
    <row r="194" spans="2:14" x14ac:dyDescent="0.25">
      <c r="M194" s="100"/>
      <c r="N194" s="137"/>
    </row>
    <row r="195" spans="2:14" x14ac:dyDescent="0.25">
      <c r="B195" s="113" t="s">
        <v>254</v>
      </c>
      <c r="M195" s="100"/>
      <c r="N195" s="137"/>
    </row>
    <row r="196" spans="2:14" x14ac:dyDescent="0.25">
      <c r="B196" s="113" t="s">
        <v>253</v>
      </c>
      <c r="M196" s="100"/>
      <c r="N196" s="137"/>
    </row>
    <row r="197" spans="2:14" x14ac:dyDescent="0.25">
      <c r="B197" s="113" t="s">
        <v>256</v>
      </c>
      <c r="M197" s="100"/>
      <c r="N197" s="137"/>
    </row>
    <row r="198" spans="2:14" x14ac:dyDescent="0.25">
      <c r="B198" s="113" t="s">
        <v>255</v>
      </c>
      <c r="M198" s="100"/>
      <c r="N198" s="137"/>
    </row>
  </sheetData>
  <sheetProtection algorithmName="SHA-512" hashValue="d90nxEgngktX2w8/RpllYQEy3B4oYsjXHlgS+xkGYMzSCpUFd+guybWoj0NveJ6u9FHbszwcfAxVdTvaTxY8PQ==" saltValue="D0+KX1mua2NkUjt55t2SFA==" spinCount="100000" sheet="1" objects="1" scenarios="1"/>
  <mergeCells count="63">
    <mergeCell ref="B184:D184"/>
    <mergeCell ref="B186:D186"/>
    <mergeCell ref="B185:D185"/>
    <mergeCell ref="B187:D187"/>
    <mergeCell ref="B76:C76"/>
    <mergeCell ref="B144:C144"/>
    <mergeCell ref="B140:C140"/>
    <mergeCell ref="B131:C131"/>
    <mergeCell ref="B128:C128"/>
    <mergeCell ref="B141:C141"/>
    <mergeCell ref="B132:C132"/>
    <mergeCell ref="B129:C129"/>
    <mergeCell ref="B113:C113"/>
    <mergeCell ref="B110:C110"/>
    <mergeCell ref="B123:C123"/>
    <mergeCell ref="B121:C121"/>
    <mergeCell ref="B70:C70"/>
    <mergeCell ref="B68:C68"/>
    <mergeCell ref="B54:C54"/>
    <mergeCell ref="B69:C69"/>
    <mergeCell ref="B46:C46"/>
    <mergeCell ref="B44:C44"/>
    <mergeCell ref="B42:C42"/>
    <mergeCell ref="B33:C33"/>
    <mergeCell ref="B61:C61"/>
    <mergeCell ref="B55:C55"/>
    <mergeCell ref="B53:C53"/>
    <mergeCell ref="B45:C45"/>
    <mergeCell ref="B43:C43"/>
    <mergeCell ref="B34:C34"/>
    <mergeCell ref="B119:C119"/>
    <mergeCell ref="B117:C117"/>
    <mergeCell ref="B115:C115"/>
    <mergeCell ref="B112:C112"/>
    <mergeCell ref="B124:C124"/>
    <mergeCell ref="B122:C122"/>
    <mergeCell ref="B120:C120"/>
    <mergeCell ref="B118:C118"/>
    <mergeCell ref="B116:C116"/>
    <mergeCell ref="B12:C12"/>
    <mergeCell ref="B36:C36"/>
    <mergeCell ref="B32:C32"/>
    <mergeCell ref="B22:C22"/>
    <mergeCell ref="B19:C19"/>
    <mergeCell ref="B35:C35"/>
    <mergeCell ref="B23:C23"/>
    <mergeCell ref="B20:C20"/>
    <mergeCell ref="B21:C21"/>
    <mergeCell ref="I184:J184"/>
    <mergeCell ref="I188:J188"/>
    <mergeCell ref="I186:J186"/>
    <mergeCell ref="I187:J187"/>
    <mergeCell ref="I185:J185"/>
    <mergeCell ref="B161:C161"/>
    <mergeCell ref="F156:G156"/>
    <mergeCell ref="F151:G151"/>
    <mergeCell ref="F147:G147"/>
    <mergeCell ref="F149:G149"/>
    <mergeCell ref="F159:G159"/>
    <mergeCell ref="F157:G157"/>
    <mergeCell ref="F155:G155"/>
    <mergeCell ref="F152:G152"/>
    <mergeCell ref="F150:G150"/>
  </mergeCells>
  <conditionalFormatting sqref="F148">
    <cfRule type="expression" dxfId="9" priority="9">
      <formula>$F$148&gt;$G$148</formula>
    </cfRule>
  </conditionalFormatting>
  <conditionalFormatting sqref="I187:J187">
    <cfRule type="expression" dxfId="8" priority="6">
      <formula>$I$187&gt;$J$190</formula>
    </cfRule>
  </conditionalFormatting>
  <conditionalFormatting sqref="H40">
    <cfRule type="cellIs" dxfId="7" priority="1" operator="equal">
      <formula>"FEHLER"</formula>
    </cfRule>
    <cfRule type="cellIs" dxfId="6" priority="2" operator="equal">
      <formula>"OK"</formula>
    </cfRule>
  </conditionalFormatting>
  <dataValidations count="1">
    <dataValidation type="list" allowBlank="1" showInputMessage="1" showErrorMessage="1" sqref="D134:K134 L115">
      <formula1>$S$52:$S$59</formula1>
    </dataValidation>
  </dataValidations>
  <pageMargins left="0.51181102362204722" right="0.51181102362204722" top="0.39370078740157483" bottom="0.39370078740157483" header="0.31496062992125984" footer="0.31496062992125984"/>
  <pageSetup paperSize="9" scale="49" fitToHeight="0" orientation="portrait" horizontalDpi="4294967295" verticalDpi="4294967295" r:id="rId1"/>
  <headerFooter>
    <oddFooter>&amp;L&amp;7Erstellt: LVWO Weinsberg J. Friz&amp;C&amp;7&amp;F&amp;R&amp;7&amp;D</oddFooter>
  </headerFooter>
  <ignoredErrors>
    <ignoredError sqref="G42 M115:M125" unlockedFormula="1"/>
    <ignoredError sqref="P56:Q56"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75" zoomScaleNormal="75" workbookViewId="0">
      <selection activeCell="K24" sqref="K24"/>
    </sheetView>
  </sheetViews>
  <sheetFormatPr baseColWidth="10" defaultRowHeight="13.8" x14ac:dyDescent="0.25"/>
  <cols>
    <col min="1" max="1" width="3" style="78" customWidth="1"/>
    <col min="2" max="2" width="8.19921875" style="78" customWidth="1"/>
    <col min="3" max="3" width="56" style="79" customWidth="1"/>
    <col min="4" max="4" width="12.19921875" style="79" customWidth="1"/>
    <col min="5" max="5" width="5.3984375" style="78" customWidth="1"/>
    <col min="6" max="6" width="3" style="78" customWidth="1"/>
    <col min="7" max="7" width="61.3984375" style="78" customWidth="1"/>
    <col min="8" max="8" width="11.59765625" style="78" customWidth="1"/>
    <col min="9" max="9" width="5.5" style="78" customWidth="1"/>
    <col min="10" max="10" width="3.09765625" style="78" customWidth="1"/>
    <col min="11" max="11" width="56" style="78" customWidth="1"/>
    <col min="12" max="16384" width="11.19921875" style="78"/>
  </cols>
  <sheetData>
    <row r="1" spans="1:12" ht="22.2" customHeight="1" x14ac:dyDescent="0.4">
      <c r="A1" s="727" t="s">
        <v>530</v>
      </c>
      <c r="B1" s="727"/>
      <c r="C1" s="727"/>
      <c r="D1" s="727"/>
      <c r="E1" s="727"/>
      <c r="F1" s="727"/>
      <c r="G1" s="727"/>
    </row>
    <row r="2" spans="1:12" ht="19.95" customHeight="1" x14ac:dyDescent="0.25">
      <c r="B2" s="576"/>
      <c r="C2" s="577"/>
      <c r="J2" s="578"/>
      <c r="K2" s="579"/>
    </row>
    <row r="3" spans="1:12" ht="7.2" customHeight="1" thickBot="1" x14ac:dyDescent="0.3">
      <c r="J3" s="578"/>
      <c r="K3" s="579"/>
    </row>
    <row r="4" spans="1:12" ht="14.4" customHeight="1" thickBot="1" x14ac:dyDescent="0.3">
      <c r="A4" s="606">
        <v>1</v>
      </c>
      <c r="B4" s="607" t="s">
        <v>555</v>
      </c>
      <c r="C4" s="607"/>
      <c r="D4" s="608">
        <v>35</v>
      </c>
      <c r="E4" s="145"/>
      <c r="F4" s="509"/>
      <c r="G4" s="582" t="s">
        <v>532</v>
      </c>
      <c r="H4" s="583"/>
      <c r="J4" s="578"/>
      <c r="K4" s="579"/>
    </row>
    <row r="5" spans="1:12" ht="14.4" customHeight="1" thickBot="1" x14ac:dyDescent="0.3">
      <c r="E5" s="145"/>
      <c r="F5" s="584"/>
      <c r="G5" s="107"/>
      <c r="H5" s="586"/>
    </row>
    <row r="6" spans="1:12" ht="14.4" customHeight="1" x14ac:dyDescent="0.25">
      <c r="A6" s="509">
        <v>2</v>
      </c>
      <c r="B6" s="580" t="s">
        <v>531</v>
      </c>
      <c r="C6" s="580"/>
      <c r="D6" s="581">
        <v>25</v>
      </c>
      <c r="E6" s="145"/>
      <c r="F6" s="584">
        <v>19</v>
      </c>
      <c r="G6" s="588" t="s">
        <v>534</v>
      </c>
      <c r="H6" s="589"/>
    </row>
    <row r="7" spans="1:12" ht="14.4" customHeight="1" x14ac:dyDescent="0.25">
      <c r="A7" s="584">
        <v>3</v>
      </c>
      <c r="B7" s="683" t="s">
        <v>533</v>
      </c>
      <c r="C7" s="683"/>
      <c r="D7" s="585">
        <v>18</v>
      </c>
      <c r="E7" s="145"/>
      <c r="F7" s="584">
        <v>20</v>
      </c>
      <c r="G7" s="683" t="s">
        <v>535</v>
      </c>
      <c r="H7" s="590">
        <v>0.3</v>
      </c>
    </row>
    <row r="8" spans="1:12" ht="14.4" customHeight="1" x14ac:dyDescent="0.25">
      <c r="A8" s="584"/>
      <c r="B8" s="683"/>
      <c r="C8" s="683"/>
      <c r="D8" s="587"/>
      <c r="E8" s="145"/>
      <c r="F8" s="584">
        <v>21</v>
      </c>
      <c r="G8" s="107" t="s">
        <v>536</v>
      </c>
      <c r="H8" s="590">
        <v>0.5</v>
      </c>
      <c r="L8" s="85"/>
    </row>
    <row r="9" spans="1:12" ht="14.4" customHeight="1" x14ac:dyDescent="0.25">
      <c r="A9" s="584">
        <v>4</v>
      </c>
      <c r="B9" s="683" t="s">
        <v>557</v>
      </c>
      <c r="C9" s="683"/>
      <c r="D9" s="309">
        <v>0.3</v>
      </c>
      <c r="E9" s="145"/>
      <c r="F9" s="584">
        <v>22</v>
      </c>
      <c r="G9" s="683" t="s">
        <v>537</v>
      </c>
      <c r="H9" s="590">
        <v>1.5</v>
      </c>
      <c r="K9" s="79"/>
    </row>
    <row r="10" spans="1:12" ht="14.4" customHeight="1" x14ac:dyDescent="0.25">
      <c r="A10" s="584">
        <v>5</v>
      </c>
      <c r="B10" s="107" t="s">
        <v>558</v>
      </c>
      <c r="C10" s="683"/>
      <c r="D10" s="309">
        <v>0.5</v>
      </c>
      <c r="E10" s="145"/>
      <c r="F10" s="584">
        <v>23</v>
      </c>
      <c r="G10" s="107" t="s">
        <v>538</v>
      </c>
      <c r="H10" s="590">
        <v>0</v>
      </c>
    </row>
    <row r="11" spans="1:12" ht="14.4" customHeight="1" x14ac:dyDescent="0.25">
      <c r="A11" s="591">
        <v>6</v>
      </c>
      <c r="B11" s="683" t="s">
        <v>559</v>
      </c>
      <c r="C11" s="683"/>
      <c r="D11" s="309">
        <v>10</v>
      </c>
      <c r="E11" s="145"/>
      <c r="F11" s="584">
        <v>24</v>
      </c>
      <c r="G11" s="588" t="s">
        <v>539</v>
      </c>
      <c r="H11" s="42"/>
      <c r="J11" s="593"/>
    </row>
    <row r="12" spans="1:12" ht="14.4" customHeight="1" x14ac:dyDescent="0.25">
      <c r="A12" s="584">
        <v>7</v>
      </c>
      <c r="B12" s="683" t="s">
        <v>560</v>
      </c>
      <c r="C12" s="683"/>
      <c r="D12" s="592">
        <v>4</v>
      </c>
      <c r="E12" s="145"/>
      <c r="F12" s="584">
        <v>25</v>
      </c>
      <c r="G12" s="595" t="s">
        <v>540</v>
      </c>
      <c r="H12" s="590">
        <v>3</v>
      </c>
      <c r="I12" s="596"/>
      <c r="J12" s="597"/>
      <c r="K12" s="15"/>
    </row>
    <row r="13" spans="1:12" ht="14.4" customHeight="1" x14ac:dyDescent="0.25">
      <c r="A13" s="584">
        <v>8</v>
      </c>
      <c r="B13" s="683" t="s">
        <v>561</v>
      </c>
      <c r="C13" s="683"/>
      <c r="D13" s="309">
        <v>12</v>
      </c>
      <c r="E13" s="145"/>
      <c r="F13" s="584">
        <v>26</v>
      </c>
      <c r="G13" s="598" t="s">
        <v>541</v>
      </c>
      <c r="H13" s="590">
        <v>1</v>
      </c>
      <c r="I13" s="145"/>
      <c r="J13" s="100"/>
      <c r="K13" s="599"/>
    </row>
    <row r="14" spans="1:12" ht="14.4" customHeight="1" thickBot="1" x14ac:dyDescent="0.3">
      <c r="A14" s="602"/>
      <c r="B14" s="145"/>
      <c r="C14" s="684"/>
      <c r="D14" s="594"/>
      <c r="E14" s="145"/>
      <c r="F14" s="584">
        <v>27</v>
      </c>
      <c r="G14" s="588" t="s">
        <v>542</v>
      </c>
      <c r="H14" s="590"/>
      <c r="I14" s="596"/>
      <c r="J14" s="684"/>
      <c r="K14" s="248"/>
    </row>
    <row r="15" spans="1:12" ht="14.4" customHeight="1" thickBot="1" x14ac:dyDescent="0.3">
      <c r="A15" s="639"/>
      <c r="B15" s="142"/>
      <c r="C15" s="142"/>
      <c r="D15" s="677"/>
      <c r="E15" s="145"/>
      <c r="F15" s="584">
        <v>28</v>
      </c>
      <c r="G15" s="107" t="s">
        <v>543</v>
      </c>
      <c r="H15" s="590">
        <v>1.5</v>
      </c>
      <c r="I15" s="596"/>
      <c r="J15" s="684"/>
      <c r="K15" s="248"/>
    </row>
    <row r="16" spans="1:12" ht="14.4" customHeight="1" thickTop="1" x14ac:dyDescent="0.25">
      <c r="A16" s="609">
        <v>9</v>
      </c>
      <c r="B16" s="610" t="s">
        <v>547</v>
      </c>
      <c r="C16" s="97"/>
      <c r="D16" s="611">
        <f>(D9+D10+D11+D12+D13)</f>
        <v>26.8</v>
      </c>
      <c r="E16" s="145"/>
      <c r="F16" s="584">
        <v>29</v>
      </c>
      <c r="G16" s="107" t="s">
        <v>544</v>
      </c>
      <c r="H16" s="601">
        <v>0.3</v>
      </c>
      <c r="I16" s="596"/>
      <c r="J16" s="145"/>
      <c r="K16" s="145"/>
      <c r="L16" s="145"/>
    </row>
    <row r="17" spans="1:12" ht="14.4" customHeight="1" x14ac:dyDescent="0.25">
      <c r="A17" s="612"/>
      <c r="B17" s="107"/>
      <c r="C17" s="683"/>
      <c r="D17" s="613"/>
      <c r="E17" s="145"/>
      <c r="F17" s="584">
        <v>30</v>
      </c>
      <c r="G17" s="107" t="s">
        <v>545</v>
      </c>
      <c r="H17" s="640">
        <f>SUM(H7:H16)</f>
        <v>8.1</v>
      </c>
      <c r="I17" s="596"/>
      <c r="J17" s="684"/>
      <c r="K17" s="248"/>
      <c r="L17" s="145"/>
    </row>
    <row r="18" spans="1:12" ht="14.4" customHeight="1" x14ac:dyDescent="0.25">
      <c r="A18" s="612">
        <v>10</v>
      </c>
      <c r="B18" s="176" t="s">
        <v>548</v>
      </c>
      <c r="C18" s="121"/>
      <c r="D18" s="217">
        <f>D4/('2. Produkte Verschluss'!K12+100%)</f>
        <v>29.411764705882355</v>
      </c>
      <c r="E18" s="145"/>
      <c r="F18" s="347"/>
      <c r="G18" s="107"/>
      <c r="H18" s="686"/>
      <c r="I18" s="138"/>
      <c r="J18" s="603"/>
      <c r="K18" s="15"/>
      <c r="L18" s="145"/>
    </row>
    <row r="19" spans="1:12" ht="14.4" customHeight="1" x14ac:dyDescent="0.25">
      <c r="A19" s="614">
        <v>11</v>
      </c>
      <c r="B19" s="162" t="s">
        <v>66</v>
      </c>
      <c r="C19" s="683"/>
      <c r="D19" s="154">
        <f>-D16</f>
        <v>-26.8</v>
      </c>
      <c r="E19" s="145"/>
      <c r="F19" s="584">
        <v>31</v>
      </c>
      <c r="G19" s="683" t="s">
        <v>562</v>
      </c>
      <c r="H19" s="42">
        <v>1</v>
      </c>
      <c r="I19" s="138"/>
      <c r="J19" s="100"/>
      <c r="K19" s="9"/>
      <c r="L19" s="145"/>
    </row>
    <row r="20" spans="1:12" ht="14.4" customHeight="1" x14ac:dyDescent="0.25">
      <c r="A20" s="612">
        <v>12</v>
      </c>
      <c r="B20" s="176" t="s">
        <v>549</v>
      </c>
      <c r="C20" s="121"/>
      <c r="D20" s="615">
        <f>SUM(D18:D19)</f>
        <v>2.6117647058823543</v>
      </c>
      <c r="E20" s="145"/>
      <c r="F20" s="584">
        <v>32</v>
      </c>
      <c r="G20" s="683" t="s">
        <v>563</v>
      </c>
      <c r="H20" s="42">
        <v>0</v>
      </c>
      <c r="I20" s="138"/>
      <c r="J20" s="100"/>
      <c r="K20" s="9"/>
      <c r="L20" s="145"/>
    </row>
    <row r="21" spans="1:12" ht="14.4" customHeight="1" x14ac:dyDescent="0.25">
      <c r="A21" s="614">
        <v>13</v>
      </c>
      <c r="B21" s="163" t="s">
        <v>67</v>
      </c>
      <c r="C21" s="683"/>
      <c r="D21" s="616">
        <f>H22</f>
        <v>10.1</v>
      </c>
      <c r="E21" s="145"/>
      <c r="F21" s="584">
        <v>33</v>
      </c>
      <c r="G21" s="683" t="s">
        <v>564</v>
      </c>
      <c r="H21" s="42">
        <v>1</v>
      </c>
      <c r="I21" s="138"/>
      <c r="J21" s="100"/>
      <c r="K21" s="9"/>
      <c r="L21" s="145"/>
    </row>
    <row r="22" spans="1:12" ht="14.4" customHeight="1" thickBot="1" x14ac:dyDescent="0.3">
      <c r="A22" s="620">
        <v>14</v>
      </c>
      <c r="B22" s="165" t="s">
        <v>550</v>
      </c>
      <c r="C22" s="617"/>
      <c r="D22" s="618">
        <f>D16</f>
        <v>26.8</v>
      </c>
      <c r="E22" s="145"/>
      <c r="F22" s="600">
        <v>34</v>
      </c>
      <c r="G22" s="604" t="s">
        <v>546</v>
      </c>
      <c r="H22" s="641">
        <f>SUM(H17:H21)</f>
        <v>10.1</v>
      </c>
      <c r="I22" s="138"/>
      <c r="J22" s="145"/>
      <c r="L22" s="145"/>
    </row>
    <row r="23" spans="1:12" ht="14.4" customHeight="1" x14ac:dyDescent="0.25">
      <c r="A23" s="620">
        <v>15</v>
      </c>
      <c r="B23" s="165" t="s">
        <v>556</v>
      </c>
      <c r="C23" s="617"/>
      <c r="D23" s="618">
        <f>D18</f>
        <v>29.411764705882355</v>
      </c>
      <c r="E23" s="145"/>
      <c r="F23" s="129"/>
      <c r="G23" s="129"/>
      <c r="H23" s="68"/>
      <c r="I23" s="138"/>
      <c r="J23" s="145"/>
      <c r="L23" s="145"/>
    </row>
    <row r="24" spans="1:12" ht="14.4" customHeight="1" x14ac:dyDescent="0.25">
      <c r="A24" s="620">
        <v>16</v>
      </c>
      <c r="B24" s="165" t="s">
        <v>551</v>
      </c>
      <c r="C24" s="617"/>
      <c r="D24" s="55">
        <f>D21/D7</f>
        <v>0.56111111111111112</v>
      </c>
      <c r="E24" s="145"/>
      <c r="F24" s="129"/>
      <c r="G24" s="100"/>
      <c r="H24" s="68"/>
      <c r="I24" s="138"/>
      <c r="L24" s="145"/>
    </row>
    <row r="25" spans="1:12" ht="14.4" customHeight="1" x14ac:dyDescent="0.25">
      <c r="A25" s="614">
        <v>17</v>
      </c>
      <c r="B25" s="176" t="s">
        <v>552</v>
      </c>
      <c r="C25" s="683"/>
      <c r="D25" s="73">
        <f>D23-D22</f>
        <v>2.6117647058823543</v>
      </c>
      <c r="E25" s="145"/>
      <c r="F25" s="129"/>
      <c r="G25" s="138"/>
      <c r="H25" s="70"/>
      <c r="I25" s="138"/>
      <c r="L25" s="145"/>
    </row>
    <row r="26" spans="1:12" ht="14.4" customHeight="1" thickBot="1" x14ac:dyDescent="0.3">
      <c r="A26" s="621">
        <v>18</v>
      </c>
      <c r="B26" s="181" t="s">
        <v>167</v>
      </c>
      <c r="C26" s="622"/>
      <c r="D26" s="623">
        <f>D25/D24</f>
        <v>4.6546301688992449</v>
      </c>
      <c r="E26" s="145"/>
      <c r="F26" s="129"/>
      <c r="G26" s="129"/>
      <c r="H26" s="187"/>
      <c r="I26" s="138"/>
      <c r="L26" s="145"/>
    </row>
    <row r="27" spans="1:12" ht="14.4" customHeight="1" thickTop="1" x14ac:dyDescent="0.25">
      <c r="E27" s="145"/>
      <c r="F27" s="129"/>
      <c r="G27" s="129"/>
      <c r="H27" s="187"/>
      <c r="L27" s="145"/>
    </row>
    <row r="28" spans="1:12" ht="14.4" customHeight="1" x14ac:dyDescent="0.3">
      <c r="A28" s="318" t="s">
        <v>575</v>
      </c>
      <c r="E28" s="145"/>
      <c r="F28" s="129"/>
      <c r="G28" s="129"/>
      <c r="H28" s="187"/>
      <c r="L28" s="145"/>
    </row>
    <row r="29" spans="1:12" ht="14.4" customHeight="1" x14ac:dyDescent="0.25">
      <c r="E29" s="145"/>
      <c r="F29" s="129"/>
      <c r="G29" s="138"/>
      <c r="H29" s="175"/>
      <c r="L29" s="145"/>
    </row>
    <row r="30" spans="1:12" ht="14.4" customHeight="1" x14ac:dyDescent="0.25">
      <c r="E30" s="145"/>
      <c r="F30" s="145"/>
      <c r="G30" s="145"/>
      <c r="H30" s="619"/>
      <c r="L30" s="145"/>
    </row>
    <row r="31" spans="1:12" ht="14.4" customHeight="1" x14ac:dyDescent="0.25">
      <c r="E31" s="145"/>
      <c r="F31" s="145"/>
      <c r="G31" s="145"/>
      <c r="H31" s="619"/>
      <c r="L31" s="145"/>
    </row>
    <row r="32" spans="1:12" ht="14.4" customHeight="1" x14ac:dyDescent="0.25">
      <c r="E32" s="145"/>
      <c r="H32" s="145"/>
      <c r="L32" s="145"/>
    </row>
    <row r="33" spans="1:12" ht="14.4" customHeight="1" x14ac:dyDescent="0.25">
      <c r="E33" s="145"/>
      <c r="H33" s="145"/>
      <c r="L33" s="145"/>
    </row>
    <row r="34" spans="1:12" ht="14.4" customHeight="1" x14ac:dyDescent="0.25">
      <c r="E34" s="129"/>
      <c r="F34" s="85"/>
      <c r="G34" s="632"/>
      <c r="H34" s="145"/>
      <c r="J34" s="603"/>
      <c r="K34" s="11"/>
      <c r="L34" s="145"/>
    </row>
    <row r="35" spans="1:12" ht="14.4" customHeight="1" x14ac:dyDescent="0.25">
      <c r="H35" s="684"/>
      <c r="J35" s="129"/>
      <c r="K35" s="129"/>
      <c r="L35" s="145"/>
    </row>
    <row r="36" spans="1:12" ht="14.4" customHeight="1" x14ac:dyDescent="0.25">
      <c r="H36" s="684"/>
      <c r="J36" s="129"/>
      <c r="K36" s="9"/>
      <c r="L36" s="145"/>
    </row>
    <row r="37" spans="1:12" ht="14.4" customHeight="1" x14ac:dyDescent="0.25">
      <c r="F37" s="596"/>
      <c r="H37" s="619"/>
      <c r="J37" s="129"/>
      <c r="K37" s="12"/>
      <c r="L37" s="145"/>
    </row>
    <row r="38" spans="1:12" ht="14.4" customHeight="1" x14ac:dyDescent="0.25">
      <c r="F38" s="596"/>
      <c r="H38" s="624"/>
      <c r="J38" s="138"/>
      <c r="K38" s="11"/>
      <c r="L38" s="145"/>
    </row>
    <row r="39" spans="1:12" ht="14.4" customHeight="1" x14ac:dyDescent="0.25">
      <c r="F39" s="596"/>
      <c r="H39" s="16"/>
      <c r="J39" s="172"/>
      <c r="K39" s="13"/>
      <c r="L39" s="145"/>
    </row>
    <row r="40" spans="1:12" ht="14.4" customHeight="1" x14ac:dyDescent="0.25">
      <c r="A40" s="596"/>
      <c r="B40" s="145"/>
      <c r="C40" s="684"/>
      <c r="D40" s="625"/>
      <c r="E40" s="145"/>
      <c r="F40" s="596"/>
      <c r="H40" s="619"/>
      <c r="J40" s="603"/>
      <c r="K40" s="626"/>
      <c r="L40" s="145"/>
    </row>
    <row r="41" spans="1:12" ht="14.4" customHeight="1" x14ac:dyDescent="0.25">
      <c r="A41" s="596"/>
      <c r="B41" s="145"/>
      <c r="C41" s="684"/>
      <c r="D41" s="246"/>
      <c r="E41" s="145"/>
      <c r="F41" s="596"/>
      <c r="H41" s="619"/>
      <c r="J41" s="145"/>
      <c r="K41" s="145"/>
      <c r="L41" s="145"/>
    </row>
    <row r="42" spans="1:12" ht="14.4" customHeight="1" x14ac:dyDescent="0.25">
      <c r="A42" s="596"/>
      <c r="B42" s="145"/>
      <c r="C42" s="684"/>
      <c r="D42" s="605"/>
      <c r="E42" s="145"/>
      <c r="F42" s="596"/>
      <c r="H42" s="624"/>
    </row>
    <row r="43" spans="1:12" x14ac:dyDescent="0.25">
      <c r="A43" s="596"/>
      <c r="B43" s="145"/>
      <c r="C43" s="684"/>
      <c r="D43" s="605"/>
      <c r="E43" s="145"/>
      <c r="F43" s="596"/>
      <c r="G43" s="627"/>
      <c r="H43" s="619"/>
    </row>
    <row r="44" spans="1:12" s="79" customFormat="1" ht="28.8" customHeight="1" x14ac:dyDescent="0.25">
      <c r="A44" s="628"/>
      <c r="B44" s="684"/>
      <c r="C44" s="684"/>
      <c r="D44" s="629"/>
      <c r="E44" s="684"/>
      <c r="F44" s="603"/>
      <c r="G44" s="597"/>
      <c r="H44" s="630"/>
    </row>
    <row r="45" spans="1:12" x14ac:dyDescent="0.25">
      <c r="A45" s="596"/>
      <c r="B45" s="684"/>
      <c r="C45" s="684"/>
      <c r="D45" s="605"/>
      <c r="E45" s="145"/>
      <c r="F45" s="596"/>
      <c r="G45" s="631"/>
      <c r="H45" s="16"/>
    </row>
    <row r="46" spans="1:12" x14ac:dyDescent="0.25">
      <c r="A46" s="596"/>
      <c r="B46" s="728"/>
      <c r="C46" s="728"/>
      <c r="D46" s="605"/>
      <c r="E46" s="145"/>
      <c r="F46" s="138"/>
      <c r="G46" s="161"/>
      <c r="H46" s="624"/>
    </row>
    <row r="47" spans="1:12" x14ac:dyDescent="0.25">
      <c r="A47" s="145"/>
      <c r="B47" s="145"/>
      <c r="C47" s="684"/>
      <c r="D47" s="100"/>
    </row>
    <row r="48" spans="1:12" x14ac:dyDescent="0.25">
      <c r="A48" s="145"/>
      <c r="B48" s="145"/>
      <c r="C48" s="684"/>
      <c r="D48" s="684"/>
    </row>
    <row r="62" spans="9:9" x14ac:dyDescent="0.25">
      <c r="I62" s="90"/>
    </row>
  </sheetData>
  <sheetProtection algorithmName="SHA-512" hashValue="TTn4gkWrzn9uqcAXwaQW/S0LKPxOlNO5lZ7vub0KiLbwIVTUYtR21YoR7nnJaJcrdUIv+iwop3UkQBAsCqeCYQ==" saltValue="CLdPGzSsIn8SSoB5aqH1hg==" spinCount="100000" sheet="1" objects="1" scenarios="1"/>
  <mergeCells count="2">
    <mergeCell ref="A1:G1"/>
    <mergeCell ref="B46:C46"/>
  </mergeCells>
  <dataValidations count="1">
    <dataValidation allowBlank="1" showErrorMessage="1" errorTitle="nicht in Liste" sqref="D6"/>
  </dataValidations>
  <pageMargins left="0.51181102362204722" right="0.51181102362204722" top="0.19685039370078741" bottom="0.39370078740157483" header="0.31496062992125984" footer="0.31496062992125984"/>
  <pageSetup paperSize="9" scale="71" orientation="landscape" verticalDpi="4294967295" r:id="rId1"/>
  <headerFooter>
    <oddFooter>&amp;L&amp;7Erstellt: LVWO Weinsberg J. Friz&amp;C&amp;7&amp;F&amp;R&amp;7&amp;D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'H:\Kalkulation\Kalkulationsprogramme\Kalkulation aufgeteilt\fertig für Veröffentlichung\Weiterentwicklung\[Verkostungen.xlsx]Daten Drop Down'!#REF!</xm:f>
          </x14:formula1>
          <xm:sqref>H11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4"/>
  <sheetViews>
    <sheetView zoomScale="70" zoomScaleNormal="70" workbookViewId="0">
      <selection activeCell="N19" sqref="N19"/>
    </sheetView>
  </sheetViews>
  <sheetFormatPr baseColWidth="10" defaultColWidth="11.19921875" defaultRowHeight="13.8" x14ac:dyDescent="0.25"/>
  <cols>
    <col min="1" max="1" width="57.796875" style="78" customWidth="1"/>
    <col min="2" max="2" width="13" style="78" customWidth="1"/>
    <col min="3" max="3" width="6.796875" style="78" customWidth="1"/>
    <col min="4" max="4" width="8.8984375" style="78" customWidth="1"/>
    <col min="5" max="8" width="13.8984375" style="78" customWidth="1"/>
    <col min="9" max="9" width="11.19921875" style="78"/>
    <col min="10" max="10" width="13.8984375" style="78" customWidth="1"/>
    <col min="11" max="11" width="4.3984375" style="78" customWidth="1"/>
    <col min="12" max="16384" width="11.19921875" style="78"/>
  </cols>
  <sheetData>
    <row r="1" spans="1:13" ht="17.399999999999999" x14ac:dyDescent="0.3">
      <c r="A1" s="318" t="s">
        <v>9</v>
      </c>
    </row>
    <row r="3" spans="1:13" ht="34.200000000000003" customHeight="1" x14ac:dyDescent="0.25">
      <c r="A3" s="319" t="s">
        <v>33</v>
      </c>
      <c r="B3" s="320" t="s">
        <v>465</v>
      </c>
      <c r="C3" s="320" t="s">
        <v>10</v>
      </c>
      <c r="D3" s="320" t="s">
        <v>13</v>
      </c>
      <c r="E3" s="320" t="s">
        <v>466</v>
      </c>
      <c r="F3" s="320" t="s">
        <v>11</v>
      </c>
      <c r="G3" s="320" t="s">
        <v>12</v>
      </c>
      <c r="H3" s="320" t="s">
        <v>14</v>
      </c>
      <c r="I3" s="321" t="s">
        <v>15</v>
      </c>
      <c r="J3" s="322" t="s">
        <v>209</v>
      </c>
      <c r="K3" s="737">
        <v>10</v>
      </c>
    </row>
    <row r="4" spans="1:13" x14ac:dyDescent="0.25">
      <c r="A4" s="335" t="s">
        <v>460</v>
      </c>
      <c r="B4" s="517">
        <v>50000</v>
      </c>
      <c r="C4" s="337"/>
      <c r="D4" s="736"/>
      <c r="E4" s="323">
        <f>B4*(1.02)^D4</f>
        <v>50000</v>
      </c>
      <c r="F4" s="323">
        <f t="shared" ref="F4:F17" si="0">IF(D4,B4/D4,0)</f>
        <v>0</v>
      </c>
      <c r="G4" s="323">
        <f t="shared" ref="G4:G17" si="1">IF(D4,E4/D4,0)</f>
        <v>0</v>
      </c>
      <c r="H4" s="323">
        <f>B4*0.01</f>
        <v>500</v>
      </c>
      <c r="I4" s="319"/>
      <c r="J4" s="324">
        <f>IF(D4&gt;$K$3,B4-($K$3*F4),0)</f>
        <v>0</v>
      </c>
      <c r="K4" s="325"/>
      <c r="L4" s="326"/>
      <c r="M4" s="326"/>
    </row>
    <row r="5" spans="1:13" x14ac:dyDescent="0.25">
      <c r="A5" s="338" t="s">
        <v>192</v>
      </c>
      <c r="B5" s="517">
        <v>1629.25</v>
      </c>
      <c r="C5" s="337"/>
      <c r="D5" s="337">
        <v>15</v>
      </c>
      <c r="E5" s="323">
        <f t="shared" ref="E5:E14" si="2">B5*(1.02)^D5</f>
        <v>2192.7559902145877</v>
      </c>
      <c r="F5" s="323">
        <f t="shared" si="0"/>
        <v>108.61666666666666</v>
      </c>
      <c r="G5" s="323">
        <f t="shared" si="1"/>
        <v>146.1837326809725</v>
      </c>
      <c r="H5" s="323">
        <f t="shared" ref="H5:H14" si="3">B5*0.01</f>
        <v>16.2925</v>
      </c>
      <c r="I5" s="319"/>
      <c r="J5" s="324">
        <f t="shared" ref="J5:J33" si="4">IF(D5&gt;$K$3,B5-($K$3*F5),0)</f>
        <v>543.08333333333348</v>
      </c>
      <c r="K5" s="325"/>
      <c r="L5" s="326"/>
      <c r="M5" s="326"/>
    </row>
    <row r="6" spans="1:13" x14ac:dyDescent="0.25">
      <c r="A6" s="338" t="s">
        <v>193</v>
      </c>
      <c r="B6" s="517">
        <v>869.83</v>
      </c>
      <c r="C6" s="337"/>
      <c r="D6" s="337">
        <v>10</v>
      </c>
      <c r="E6" s="323">
        <f t="shared" si="2"/>
        <v>1060.3179163440395</v>
      </c>
      <c r="F6" s="323">
        <f t="shared" si="0"/>
        <v>86.983000000000004</v>
      </c>
      <c r="G6" s="323">
        <f t="shared" si="1"/>
        <v>106.03179163440396</v>
      </c>
      <c r="H6" s="323">
        <f t="shared" si="3"/>
        <v>8.6983000000000015</v>
      </c>
      <c r="I6" s="319"/>
      <c r="J6" s="324">
        <f t="shared" si="4"/>
        <v>0</v>
      </c>
      <c r="K6" s="325"/>
    </row>
    <row r="7" spans="1:13" x14ac:dyDescent="0.25">
      <c r="A7" s="508" t="s">
        <v>461</v>
      </c>
      <c r="B7" s="517">
        <v>2500</v>
      </c>
      <c r="C7" s="337"/>
      <c r="D7" s="337">
        <v>10</v>
      </c>
      <c r="E7" s="323">
        <f t="shared" si="2"/>
        <v>3047.4860499868928</v>
      </c>
      <c r="F7" s="323">
        <f t="shared" si="0"/>
        <v>250</v>
      </c>
      <c r="G7" s="323">
        <f t="shared" si="1"/>
        <v>304.7486049986893</v>
      </c>
      <c r="H7" s="323">
        <f t="shared" si="3"/>
        <v>25</v>
      </c>
      <c r="I7" s="319"/>
      <c r="J7" s="324">
        <f t="shared" si="4"/>
        <v>0</v>
      </c>
      <c r="K7" s="325"/>
    </row>
    <row r="8" spans="1:13" x14ac:dyDescent="0.25">
      <c r="A8" s="338" t="s">
        <v>194</v>
      </c>
      <c r="B8" s="517">
        <v>1999</v>
      </c>
      <c r="C8" s="337"/>
      <c r="D8" s="337">
        <v>15</v>
      </c>
      <c r="E8" s="323">
        <f t="shared" si="2"/>
        <v>2690.3908083099345</v>
      </c>
      <c r="F8" s="323">
        <f t="shared" si="0"/>
        <v>133.26666666666668</v>
      </c>
      <c r="G8" s="323">
        <f t="shared" si="1"/>
        <v>179.35938722066231</v>
      </c>
      <c r="H8" s="323">
        <f t="shared" si="3"/>
        <v>19.990000000000002</v>
      </c>
      <c r="I8" s="319"/>
      <c r="J8" s="324">
        <f t="shared" si="4"/>
        <v>666.33333333333326</v>
      </c>
      <c r="K8" s="325"/>
    </row>
    <row r="9" spans="1:13" x14ac:dyDescent="0.25">
      <c r="A9" s="508" t="s">
        <v>462</v>
      </c>
      <c r="B9" s="517">
        <v>650</v>
      </c>
      <c r="C9" s="337"/>
      <c r="D9" s="337">
        <v>15</v>
      </c>
      <c r="E9" s="323">
        <f t="shared" si="2"/>
        <v>874.81441991068402</v>
      </c>
      <c r="F9" s="323">
        <f t="shared" si="0"/>
        <v>43.333333333333336</v>
      </c>
      <c r="G9" s="323">
        <f t="shared" si="1"/>
        <v>58.320961327378932</v>
      </c>
      <c r="H9" s="323">
        <f t="shared" si="3"/>
        <v>6.5</v>
      </c>
      <c r="I9" s="319"/>
      <c r="J9" s="324">
        <f t="shared" si="4"/>
        <v>216.66666666666663</v>
      </c>
      <c r="K9" s="325"/>
    </row>
    <row r="10" spans="1:13" x14ac:dyDescent="0.25">
      <c r="A10" s="338" t="s">
        <v>195</v>
      </c>
      <c r="B10" s="517">
        <v>1982.64</v>
      </c>
      <c r="C10" s="337"/>
      <c r="D10" s="337">
        <v>20</v>
      </c>
      <c r="E10" s="323">
        <f t="shared" si="2"/>
        <v>2946.0987451625242</v>
      </c>
      <c r="F10" s="323">
        <f t="shared" si="0"/>
        <v>99.132000000000005</v>
      </c>
      <c r="G10" s="323">
        <f t="shared" si="1"/>
        <v>147.30493725812622</v>
      </c>
      <c r="H10" s="323">
        <f t="shared" si="3"/>
        <v>19.826400000000003</v>
      </c>
      <c r="I10" s="319"/>
      <c r="J10" s="324">
        <f t="shared" si="4"/>
        <v>991.32</v>
      </c>
      <c r="K10" s="325"/>
    </row>
    <row r="11" spans="1:13" x14ac:dyDescent="0.25">
      <c r="A11" s="338" t="s">
        <v>196</v>
      </c>
      <c r="B11" s="517">
        <v>4168.1000000000004</v>
      </c>
      <c r="C11" s="337"/>
      <c r="D11" s="337">
        <v>15</v>
      </c>
      <c r="E11" s="323">
        <f t="shared" si="2"/>
        <v>5609.7138209688037</v>
      </c>
      <c r="F11" s="323">
        <f t="shared" si="0"/>
        <v>277.87333333333333</v>
      </c>
      <c r="G11" s="323">
        <f t="shared" si="1"/>
        <v>373.98092139792027</v>
      </c>
      <c r="H11" s="323">
        <f t="shared" si="3"/>
        <v>41.681000000000004</v>
      </c>
      <c r="I11" s="319"/>
      <c r="J11" s="324">
        <f t="shared" si="4"/>
        <v>1389.3666666666668</v>
      </c>
      <c r="K11" s="325"/>
    </row>
    <row r="12" spans="1:13" x14ac:dyDescent="0.25">
      <c r="A12" s="339" t="s">
        <v>282</v>
      </c>
      <c r="B12" s="517">
        <v>500</v>
      </c>
      <c r="C12" s="337"/>
      <c r="D12" s="337">
        <v>15</v>
      </c>
      <c r="E12" s="323">
        <f t="shared" si="2"/>
        <v>672.93416916206456</v>
      </c>
      <c r="F12" s="323">
        <f t="shared" si="0"/>
        <v>33.333333333333336</v>
      </c>
      <c r="G12" s="323">
        <f t="shared" si="1"/>
        <v>44.862277944137638</v>
      </c>
      <c r="H12" s="323">
        <f t="shared" si="3"/>
        <v>5</v>
      </c>
      <c r="I12" s="319"/>
      <c r="J12" s="324">
        <f t="shared" si="4"/>
        <v>166.66666666666663</v>
      </c>
      <c r="K12" s="325"/>
    </row>
    <row r="13" spans="1:13" x14ac:dyDescent="0.25">
      <c r="A13" s="508" t="s">
        <v>464</v>
      </c>
      <c r="B13" s="517">
        <v>1000</v>
      </c>
      <c r="C13" s="337"/>
      <c r="D13" s="337">
        <v>10</v>
      </c>
      <c r="E13" s="323">
        <f t="shared" si="2"/>
        <v>1218.9944199947572</v>
      </c>
      <c r="F13" s="323">
        <f t="shared" si="0"/>
        <v>100</v>
      </c>
      <c r="G13" s="323">
        <f t="shared" si="1"/>
        <v>121.89944199947573</v>
      </c>
      <c r="H13" s="323">
        <f t="shared" si="3"/>
        <v>10</v>
      </c>
      <c r="I13" s="319"/>
      <c r="J13" s="324">
        <f t="shared" si="4"/>
        <v>0</v>
      </c>
      <c r="K13" s="325"/>
    </row>
    <row r="14" spans="1:13" x14ac:dyDescent="0.25">
      <c r="A14" s="340" t="s">
        <v>463</v>
      </c>
      <c r="B14" s="517">
        <v>4500</v>
      </c>
      <c r="C14" s="337"/>
      <c r="D14" s="337">
        <v>20</v>
      </c>
      <c r="E14" s="323">
        <f t="shared" si="2"/>
        <v>6686.7632819025939</v>
      </c>
      <c r="F14" s="323">
        <f t="shared" si="0"/>
        <v>225</v>
      </c>
      <c r="G14" s="323">
        <f t="shared" si="1"/>
        <v>334.33816409512968</v>
      </c>
      <c r="H14" s="323">
        <f t="shared" si="3"/>
        <v>45</v>
      </c>
      <c r="I14" s="319"/>
      <c r="J14" s="324">
        <f t="shared" si="4"/>
        <v>2250</v>
      </c>
      <c r="K14" s="325"/>
    </row>
    <row r="15" spans="1:13" x14ac:dyDescent="0.25">
      <c r="A15" s="335" t="s">
        <v>197</v>
      </c>
      <c r="B15" s="517">
        <v>60000</v>
      </c>
      <c r="C15" s="337"/>
      <c r="D15" s="337">
        <v>30</v>
      </c>
      <c r="E15" s="323">
        <f t="shared" ref="E15:E33" si="5">B15*(1.02)^D15</f>
        <v>108681.6950462012</v>
      </c>
      <c r="F15" s="323">
        <f t="shared" si="0"/>
        <v>2000</v>
      </c>
      <c r="G15" s="323">
        <f t="shared" si="1"/>
        <v>3622.7231682067068</v>
      </c>
      <c r="H15" s="323">
        <f t="shared" ref="H15:H33" si="6">B15*0.01</f>
        <v>600</v>
      </c>
      <c r="I15" s="319"/>
      <c r="J15" s="324">
        <f t="shared" si="4"/>
        <v>40000</v>
      </c>
      <c r="K15" s="327"/>
    </row>
    <row r="16" spans="1:13" x14ac:dyDescent="0.25">
      <c r="A16" s="335" t="s">
        <v>283</v>
      </c>
      <c r="B16" s="517">
        <v>120000</v>
      </c>
      <c r="C16" s="337"/>
      <c r="D16" s="337">
        <v>15</v>
      </c>
      <c r="E16" s="323">
        <f t="shared" si="5"/>
        <v>161504.20059889552</v>
      </c>
      <c r="F16" s="323">
        <f t="shared" si="0"/>
        <v>8000</v>
      </c>
      <c r="G16" s="323">
        <f t="shared" si="1"/>
        <v>10766.946706593035</v>
      </c>
      <c r="H16" s="323">
        <f t="shared" si="6"/>
        <v>1200</v>
      </c>
      <c r="I16" s="319"/>
      <c r="J16" s="324">
        <f t="shared" si="4"/>
        <v>40000</v>
      </c>
      <c r="K16" s="327"/>
    </row>
    <row r="17" spans="1:13" x14ac:dyDescent="0.25">
      <c r="A17" s="338" t="s">
        <v>198</v>
      </c>
      <c r="B17" s="517">
        <v>460</v>
      </c>
      <c r="C17" s="337"/>
      <c r="D17" s="337">
        <v>15</v>
      </c>
      <c r="E17" s="323">
        <f t="shared" si="5"/>
        <v>619.09943562909939</v>
      </c>
      <c r="F17" s="323">
        <f t="shared" si="0"/>
        <v>30.666666666666668</v>
      </c>
      <c r="G17" s="323">
        <f t="shared" si="1"/>
        <v>41.273295708606625</v>
      </c>
      <c r="H17" s="323">
        <f t="shared" si="6"/>
        <v>4.6000000000000005</v>
      </c>
      <c r="I17" s="319"/>
      <c r="J17" s="324">
        <f t="shared" si="4"/>
        <v>153.33333333333331</v>
      </c>
      <c r="K17" s="327"/>
      <c r="L17" s="326"/>
      <c r="M17" s="326"/>
    </row>
    <row r="18" spans="1:13" x14ac:dyDescent="0.25">
      <c r="A18" s="338"/>
      <c r="B18" s="336"/>
      <c r="C18" s="337"/>
      <c r="D18" s="337"/>
      <c r="E18" s="323">
        <f t="shared" si="5"/>
        <v>0</v>
      </c>
      <c r="F18" s="323">
        <f>IF(D18,B18/D18,0)</f>
        <v>0</v>
      </c>
      <c r="G18" s="323">
        <f t="shared" ref="G18:G33" si="7">IF(D18,E18/D18,0)</f>
        <v>0</v>
      </c>
      <c r="H18" s="323">
        <f t="shared" si="6"/>
        <v>0</v>
      </c>
      <c r="I18" s="319"/>
      <c r="J18" s="324">
        <f t="shared" si="4"/>
        <v>0</v>
      </c>
      <c r="K18" s="327"/>
      <c r="L18" s="326"/>
      <c r="M18" s="326"/>
    </row>
    <row r="19" spans="1:13" x14ac:dyDescent="0.25">
      <c r="A19" s="335"/>
      <c r="B19" s="336"/>
      <c r="C19" s="337"/>
      <c r="D19" s="337"/>
      <c r="E19" s="323">
        <f t="shared" si="5"/>
        <v>0</v>
      </c>
      <c r="F19" s="323">
        <f>IF(D19,B19/D19,0)</f>
        <v>0</v>
      </c>
      <c r="G19" s="323">
        <f t="shared" si="7"/>
        <v>0</v>
      </c>
      <c r="H19" s="323">
        <f t="shared" si="6"/>
        <v>0</v>
      </c>
      <c r="I19" s="319"/>
      <c r="J19" s="324">
        <f t="shared" si="4"/>
        <v>0</v>
      </c>
      <c r="K19" s="327"/>
      <c r="L19" s="326"/>
      <c r="M19" s="326"/>
    </row>
    <row r="20" spans="1:13" x14ac:dyDescent="0.25">
      <c r="A20" s="335"/>
      <c r="B20" s="336"/>
      <c r="C20" s="337"/>
      <c r="D20" s="337"/>
      <c r="E20" s="323">
        <f t="shared" si="5"/>
        <v>0</v>
      </c>
      <c r="F20" s="323">
        <f t="shared" ref="F20:F33" si="8">IF(D20,B20/D20,0)</f>
        <v>0</v>
      </c>
      <c r="G20" s="323">
        <f t="shared" si="7"/>
        <v>0</v>
      </c>
      <c r="H20" s="323">
        <f t="shared" si="6"/>
        <v>0</v>
      </c>
      <c r="I20" s="319"/>
      <c r="J20" s="324">
        <f t="shared" si="4"/>
        <v>0</v>
      </c>
      <c r="K20" s="327"/>
      <c r="L20" s="326"/>
      <c r="M20" s="326"/>
    </row>
    <row r="21" spans="1:13" x14ac:dyDescent="0.25">
      <c r="A21" s="341"/>
      <c r="B21" s="336"/>
      <c r="C21" s="337"/>
      <c r="D21" s="337"/>
      <c r="E21" s="323">
        <f>B21*(1.02)^D21</f>
        <v>0</v>
      </c>
      <c r="F21" s="323">
        <f t="shared" si="8"/>
        <v>0</v>
      </c>
      <c r="G21" s="323">
        <f t="shared" si="7"/>
        <v>0</v>
      </c>
      <c r="H21" s="323">
        <f t="shared" si="6"/>
        <v>0</v>
      </c>
      <c r="I21" s="319"/>
      <c r="J21" s="324">
        <f t="shared" si="4"/>
        <v>0</v>
      </c>
      <c r="K21" s="327"/>
    </row>
    <row r="22" spans="1:13" x14ac:dyDescent="0.25">
      <c r="A22" s="341"/>
      <c r="B22" s="336"/>
      <c r="C22" s="337"/>
      <c r="D22" s="337"/>
      <c r="E22" s="323">
        <f t="shared" si="5"/>
        <v>0</v>
      </c>
      <c r="F22" s="323">
        <f t="shared" si="8"/>
        <v>0</v>
      </c>
      <c r="G22" s="323">
        <f t="shared" si="7"/>
        <v>0</v>
      </c>
      <c r="H22" s="323">
        <f t="shared" si="6"/>
        <v>0</v>
      </c>
      <c r="I22" s="319"/>
      <c r="J22" s="324">
        <f t="shared" si="4"/>
        <v>0</v>
      </c>
      <c r="K22" s="327"/>
    </row>
    <row r="23" spans="1:13" x14ac:dyDescent="0.25">
      <c r="A23" s="341"/>
      <c r="B23" s="336"/>
      <c r="C23" s="337"/>
      <c r="D23" s="337"/>
      <c r="E23" s="323">
        <f t="shared" si="5"/>
        <v>0</v>
      </c>
      <c r="F23" s="323">
        <f t="shared" si="8"/>
        <v>0</v>
      </c>
      <c r="G23" s="323">
        <f t="shared" si="7"/>
        <v>0</v>
      </c>
      <c r="H23" s="323">
        <f t="shared" si="6"/>
        <v>0</v>
      </c>
      <c r="I23" s="319"/>
      <c r="J23" s="324">
        <f t="shared" si="4"/>
        <v>0</v>
      </c>
      <c r="K23" s="327"/>
    </row>
    <row r="24" spans="1:13" x14ac:dyDescent="0.25">
      <c r="A24" s="341"/>
      <c r="B24" s="336"/>
      <c r="C24" s="337"/>
      <c r="D24" s="337"/>
      <c r="E24" s="323">
        <f t="shared" si="5"/>
        <v>0</v>
      </c>
      <c r="F24" s="323">
        <f t="shared" si="8"/>
        <v>0</v>
      </c>
      <c r="G24" s="323">
        <f t="shared" si="7"/>
        <v>0</v>
      </c>
      <c r="H24" s="323">
        <f t="shared" si="6"/>
        <v>0</v>
      </c>
      <c r="I24" s="319"/>
      <c r="J24" s="324">
        <f t="shared" si="4"/>
        <v>0</v>
      </c>
      <c r="K24" s="327"/>
    </row>
    <row r="25" spans="1:13" x14ac:dyDescent="0.25">
      <c r="A25" s="341"/>
      <c r="B25" s="336"/>
      <c r="C25" s="337"/>
      <c r="D25" s="337"/>
      <c r="E25" s="323">
        <f t="shared" si="5"/>
        <v>0</v>
      </c>
      <c r="F25" s="323">
        <f t="shared" si="8"/>
        <v>0</v>
      </c>
      <c r="G25" s="323">
        <f t="shared" si="7"/>
        <v>0</v>
      </c>
      <c r="H25" s="323">
        <f t="shared" si="6"/>
        <v>0</v>
      </c>
      <c r="I25" s="319"/>
      <c r="J25" s="324">
        <f t="shared" si="4"/>
        <v>0</v>
      </c>
      <c r="K25" s="327"/>
    </row>
    <row r="26" spans="1:13" x14ac:dyDescent="0.25">
      <c r="A26" s="341"/>
      <c r="B26" s="336"/>
      <c r="C26" s="337"/>
      <c r="D26" s="337"/>
      <c r="E26" s="323">
        <f t="shared" si="5"/>
        <v>0</v>
      </c>
      <c r="F26" s="323">
        <f t="shared" si="8"/>
        <v>0</v>
      </c>
      <c r="G26" s="323">
        <f t="shared" si="7"/>
        <v>0</v>
      </c>
      <c r="H26" s="323">
        <f t="shared" si="6"/>
        <v>0</v>
      </c>
      <c r="I26" s="319"/>
      <c r="J26" s="324">
        <f t="shared" si="4"/>
        <v>0</v>
      </c>
      <c r="K26" s="327"/>
    </row>
    <row r="27" spans="1:13" x14ac:dyDescent="0.25">
      <c r="A27" s="341"/>
      <c r="B27" s="336"/>
      <c r="C27" s="337"/>
      <c r="D27" s="337"/>
      <c r="E27" s="323">
        <f t="shared" si="5"/>
        <v>0</v>
      </c>
      <c r="F27" s="323">
        <f t="shared" si="8"/>
        <v>0</v>
      </c>
      <c r="G27" s="323">
        <f t="shared" si="7"/>
        <v>0</v>
      </c>
      <c r="H27" s="323">
        <f t="shared" si="6"/>
        <v>0</v>
      </c>
      <c r="I27" s="319"/>
      <c r="J27" s="324">
        <f t="shared" si="4"/>
        <v>0</v>
      </c>
      <c r="K27" s="327"/>
    </row>
    <row r="28" spans="1:13" x14ac:dyDescent="0.25">
      <c r="A28" s="341"/>
      <c r="B28" s="336"/>
      <c r="C28" s="337"/>
      <c r="D28" s="337"/>
      <c r="E28" s="323">
        <f t="shared" si="5"/>
        <v>0</v>
      </c>
      <c r="F28" s="323">
        <f t="shared" si="8"/>
        <v>0</v>
      </c>
      <c r="G28" s="323">
        <f t="shared" si="7"/>
        <v>0</v>
      </c>
      <c r="H28" s="323">
        <f t="shared" si="6"/>
        <v>0</v>
      </c>
      <c r="I28" s="319"/>
      <c r="J28" s="324">
        <f t="shared" si="4"/>
        <v>0</v>
      </c>
      <c r="K28" s="327"/>
    </row>
    <row r="29" spans="1:13" x14ac:dyDescent="0.25">
      <c r="A29" s="341"/>
      <c r="B29" s="336"/>
      <c r="C29" s="337"/>
      <c r="D29" s="337"/>
      <c r="E29" s="323">
        <f t="shared" si="5"/>
        <v>0</v>
      </c>
      <c r="F29" s="323">
        <f t="shared" si="8"/>
        <v>0</v>
      </c>
      <c r="G29" s="323">
        <f t="shared" si="7"/>
        <v>0</v>
      </c>
      <c r="H29" s="323">
        <f t="shared" si="6"/>
        <v>0</v>
      </c>
      <c r="I29" s="319"/>
      <c r="J29" s="324">
        <f t="shared" si="4"/>
        <v>0</v>
      </c>
      <c r="K29" s="325"/>
    </row>
    <row r="30" spans="1:13" x14ac:dyDescent="0.25">
      <c r="A30" s="341"/>
      <c r="B30" s="336"/>
      <c r="C30" s="337"/>
      <c r="D30" s="337"/>
      <c r="E30" s="323">
        <f t="shared" si="5"/>
        <v>0</v>
      </c>
      <c r="F30" s="323">
        <f t="shared" si="8"/>
        <v>0</v>
      </c>
      <c r="G30" s="323">
        <f t="shared" si="7"/>
        <v>0</v>
      </c>
      <c r="H30" s="323">
        <f t="shared" si="6"/>
        <v>0</v>
      </c>
      <c r="I30" s="319"/>
      <c r="J30" s="324">
        <f t="shared" si="4"/>
        <v>0</v>
      </c>
      <c r="K30" s="325"/>
    </row>
    <row r="31" spans="1:13" x14ac:dyDescent="0.25">
      <c r="A31" s="342"/>
      <c r="B31" s="343"/>
      <c r="C31" s="344"/>
      <c r="D31" s="345"/>
      <c r="E31" s="323">
        <f t="shared" si="5"/>
        <v>0</v>
      </c>
      <c r="F31" s="323">
        <f t="shared" si="8"/>
        <v>0</v>
      </c>
      <c r="G31" s="323">
        <f t="shared" si="7"/>
        <v>0</v>
      </c>
      <c r="H31" s="323">
        <f t="shared" si="6"/>
        <v>0</v>
      </c>
      <c r="I31" s="319"/>
      <c r="J31" s="324">
        <f t="shared" si="4"/>
        <v>0</v>
      </c>
      <c r="K31" s="325"/>
    </row>
    <row r="32" spans="1:13" x14ac:dyDescent="0.25">
      <c r="A32" s="341"/>
      <c r="B32" s="336"/>
      <c r="C32" s="337"/>
      <c r="D32" s="337"/>
      <c r="E32" s="323">
        <f t="shared" si="5"/>
        <v>0</v>
      </c>
      <c r="F32" s="323">
        <f t="shared" si="8"/>
        <v>0</v>
      </c>
      <c r="G32" s="323">
        <f t="shared" si="7"/>
        <v>0</v>
      </c>
      <c r="H32" s="323">
        <f t="shared" si="6"/>
        <v>0</v>
      </c>
      <c r="I32" s="319"/>
      <c r="J32" s="324">
        <f t="shared" si="4"/>
        <v>0</v>
      </c>
      <c r="K32" s="325"/>
    </row>
    <row r="33" spans="1:11" x14ac:dyDescent="0.25">
      <c r="A33" s="337"/>
      <c r="B33" s="337"/>
      <c r="C33" s="337"/>
      <c r="D33" s="337"/>
      <c r="E33" s="323">
        <f t="shared" si="5"/>
        <v>0</v>
      </c>
      <c r="F33" s="323">
        <f t="shared" si="8"/>
        <v>0</v>
      </c>
      <c r="G33" s="323">
        <f t="shared" si="7"/>
        <v>0</v>
      </c>
      <c r="H33" s="323">
        <f t="shared" si="6"/>
        <v>0</v>
      </c>
      <c r="I33" s="319"/>
      <c r="J33" s="324">
        <f t="shared" si="4"/>
        <v>0</v>
      </c>
      <c r="K33" s="328"/>
    </row>
    <row r="34" spans="1:11" x14ac:dyDescent="0.25">
      <c r="A34" s="113" t="s">
        <v>5</v>
      </c>
      <c r="B34" s="329">
        <f>SUM(B4:B33)</f>
        <v>250258.82</v>
      </c>
      <c r="F34" s="330">
        <f>SUM(F4:F33)</f>
        <v>11388.205</v>
      </c>
      <c r="G34" s="331">
        <f>SUM(G4:G33)</f>
        <v>16247.973391065245</v>
      </c>
      <c r="H34" s="330">
        <f>SUM(H4:H33)</f>
        <v>2502.5882000000001</v>
      </c>
      <c r="J34" s="332">
        <f>SUM(J4:J33)</f>
        <v>86376.77</v>
      </c>
    </row>
    <row r="35" spans="1:11" x14ac:dyDescent="0.25">
      <c r="J35" s="333" t="s">
        <v>313</v>
      </c>
    </row>
    <row r="36" spans="1:11" x14ac:dyDescent="0.25">
      <c r="A36" s="334"/>
      <c r="B36" s="334"/>
      <c r="C36" s="334"/>
      <c r="D36" s="334"/>
      <c r="E36" s="334"/>
      <c r="F36" s="334"/>
      <c r="G36" s="334"/>
      <c r="H36" s="334"/>
      <c r="I36" s="334"/>
    </row>
    <row r="37" spans="1:11" x14ac:dyDescent="0.25">
      <c r="A37" s="334"/>
      <c r="B37" s="334"/>
      <c r="C37" s="334"/>
      <c r="D37" s="334"/>
      <c r="E37" s="334"/>
      <c r="F37" s="334"/>
      <c r="G37" s="334"/>
      <c r="H37" s="334"/>
      <c r="I37" s="334"/>
    </row>
    <row r="38" spans="1:11" x14ac:dyDescent="0.25">
      <c r="A38" s="334"/>
      <c r="B38" s="334"/>
      <c r="C38" s="334"/>
      <c r="D38" s="334"/>
      <c r="E38" s="334"/>
      <c r="F38" s="334"/>
      <c r="G38" s="334"/>
      <c r="H38" s="334"/>
      <c r="I38" s="334"/>
    </row>
    <row r="39" spans="1:11" x14ac:dyDescent="0.25">
      <c r="A39" s="334"/>
      <c r="B39" s="334"/>
      <c r="C39" s="334"/>
      <c r="D39" s="334"/>
      <c r="E39" s="334"/>
      <c r="F39" s="334"/>
      <c r="G39" s="334"/>
      <c r="H39" s="334"/>
      <c r="I39" s="334"/>
    </row>
    <row r="40" spans="1:11" x14ac:dyDescent="0.25">
      <c r="A40" s="334"/>
      <c r="B40" s="334"/>
      <c r="C40" s="334"/>
      <c r="D40" s="334"/>
      <c r="E40" s="334"/>
      <c r="F40" s="334"/>
      <c r="G40" s="334"/>
      <c r="H40" s="334"/>
      <c r="I40" s="334"/>
    </row>
    <row r="41" spans="1:11" x14ac:dyDescent="0.25">
      <c r="A41" s="334"/>
      <c r="B41" s="334"/>
    </row>
    <row r="42" spans="1:11" x14ac:dyDescent="0.25">
      <c r="B42" s="334"/>
      <c r="H42" s="334"/>
    </row>
    <row r="43" spans="1:11" x14ac:dyDescent="0.25">
      <c r="B43" s="334"/>
    </row>
    <row r="44" spans="1:11" x14ac:dyDescent="0.25">
      <c r="B44" s="334"/>
      <c r="C44" s="334"/>
    </row>
  </sheetData>
  <sheetProtection algorithmName="SHA-512" hashValue="5w0utwnnlD/QX5Yz9+iLRT+f76QcMzv9ilTkWILAibMQbrj2qaFxqL/FR+IDLFU0sZQWh5KYOZGCJXqJifYnPg==" saltValue="qJLXlAz85Mzs5O0EBk6liA==" spinCount="100000" sheet="1" objects="1" scenarios="1"/>
  <conditionalFormatting sqref="F4:F33">
    <cfRule type="cellIs" dxfId="5" priority="1" operator="equal">
      <formula>0</formula>
    </cfRule>
    <cfRule type="cellIs" dxfId="4" priority="2" operator="equal">
      <formula>0</formula>
    </cfRule>
  </conditionalFormatting>
  <pageMargins left="0.7" right="0.7" top="0.78740157499999996" bottom="0.78740157499999996" header="0.3" footer="0.3"/>
  <pageSetup paperSize="9" scale="7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1"/>
  <sheetViews>
    <sheetView zoomScale="90" zoomScaleNormal="90" workbookViewId="0">
      <selection activeCell="B29" sqref="B29"/>
    </sheetView>
  </sheetViews>
  <sheetFormatPr baseColWidth="10" defaultColWidth="11.19921875" defaultRowHeight="13.8" x14ac:dyDescent="0.25"/>
  <cols>
    <col min="1" max="1" width="28" style="78" customWidth="1"/>
    <col min="2" max="2" width="13.19921875" style="78" customWidth="1"/>
    <col min="3" max="16384" width="11.19921875" style="78"/>
  </cols>
  <sheetData>
    <row r="1" spans="1:3" ht="17.399999999999999" x14ac:dyDescent="0.3">
      <c r="A1" s="318" t="s">
        <v>329</v>
      </c>
    </row>
    <row r="2" spans="1:3" ht="14.4" thickBot="1" x14ac:dyDescent="0.3"/>
    <row r="3" spans="1:3" x14ac:dyDescent="0.25">
      <c r="A3" s="346" t="s">
        <v>21</v>
      </c>
      <c r="B3" s="511">
        <v>200</v>
      </c>
      <c r="C3" s="78" t="s">
        <v>318</v>
      </c>
    </row>
    <row r="4" spans="1:3" x14ac:dyDescent="0.25">
      <c r="A4" s="347" t="s">
        <v>22</v>
      </c>
      <c r="B4" s="512">
        <v>300</v>
      </c>
      <c r="C4" s="78" t="s">
        <v>317</v>
      </c>
    </row>
    <row r="5" spans="1:3" x14ac:dyDescent="0.25">
      <c r="A5" s="347" t="s">
        <v>23</v>
      </c>
      <c r="B5" s="512">
        <v>200</v>
      </c>
      <c r="C5" s="78" t="s">
        <v>467</v>
      </c>
    </row>
    <row r="6" spans="1:3" x14ac:dyDescent="0.25">
      <c r="A6" s="347" t="s">
        <v>24</v>
      </c>
      <c r="B6" s="512">
        <v>200</v>
      </c>
      <c r="C6" s="78" t="s">
        <v>319</v>
      </c>
    </row>
    <row r="7" spans="1:3" ht="14.4" thickBot="1" x14ac:dyDescent="0.3">
      <c r="A7" s="348" t="s">
        <v>142</v>
      </c>
      <c r="B7" s="513">
        <v>150</v>
      </c>
    </row>
    <row r="8" spans="1:3" ht="14.4" thickBot="1" x14ac:dyDescent="0.3">
      <c r="A8" s="349"/>
      <c r="B8" s="514">
        <f>SUM(B3:B7)</f>
        <v>1050</v>
      </c>
    </row>
    <row r="9" spans="1:3" ht="14.4" thickBot="1" x14ac:dyDescent="0.3">
      <c r="A9" s="129"/>
      <c r="B9" s="390"/>
    </row>
    <row r="10" spans="1:3" x14ac:dyDescent="0.25">
      <c r="A10" s="346" t="s">
        <v>16</v>
      </c>
      <c r="B10" s="511">
        <v>1500</v>
      </c>
    </row>
    <row r="11" spans="1:3" x14ac:dyDescent="0.25">
      <c r="A11" s="347" t="s">
        <v>17</v>
      </c>
      <c r="B11" s="512">
        <v>0</v>
      </c>
    </row>
    <row r="12" spans="1:3" x14ac:dyDescent="0.25">
      <c r="A12" s="347" t="s">
        <v>468</v>
      </c>
      <c r="B12" s="512">
        <v>250</v>
      </c>
    </row>
    <row r="13" spans="1:3" x14ac:dyDescent="0.25">
      <c r="A13" s="347" t="s">
        <v>18</v>
      </c>
      <c r="B13" s="512">
        <v>250</v>
      </c>
    </row>
    <row r="14" spans="1:3" x14ac:dyDescent="0.25">
      <c r="A14" s="347" t="s">
        <v>19</v>
      </c>
      <c r="B14" s="512">
        <v>1000</v>
      </c>
    </row>
    <row r="15" spans="1:3" ht="14.4" thickBot="1" x14ac:dyDescent="0.3">
      <c r="A15" s="348"/>
      <c r="B15" s="513"/>
    </row>
    <row r="16" spans="1:3" ht="14.4" thickBot="1" x14ac:dyDescent="0.3">
      <c r="A16" s="349"/>
      <c r="B16" s="514">
        <f>SUM(B10:B15)</f>
        <v>3000</v>
      </c>
    </row>
    <row r="17" spans="1:8" ht="14.4" thickBot="1" x14ac:dyDescent="0.3">
      <c r="A17" s="129"/>
      <c r="B17" s="390"/>
    </row>
    <row r="18" spans="1:8" x14ac:dyDescent="0.25">
      <c r="A18" s="509" t="s">
        <v>20</v>
      </c>
      <c r="B18" s="511"/>
    </row>
    <row r="19" spans="1:8" x14ac:dyDescent="0.25">
      <c r="A19" s="347" t="s">
        <v>25</v>
      </c>
      <c r="B19" s="512">
        <v>0</v>
      </c>
    </row>
    <row r="20" spans="1:8" x14ac:dyDescent="0.25">
      <c r="A20" s="347" t="s">
        <v>26</v>
      </c>
      <c r="B20" s="512">
        <v>0</v>
      </c>
    </row>
    <row r="21" spans="1:8" x14ac:dyDescent="0.25">
      <c r="A21" s="347" t="s">
        <v>27</v>
      </c>
      <c r="B21" s="512">
        <v>0</v>
      </c>
      <c r="H21" s="350"/>
    </row>
    <row r="22" spans="1:8" x14ac:dyDescent="0.25">
      <c r="A22" s="347" t="s">
        <v>28</v>
      </c>
      <c r="B22" s="512">
        <v>200</v>
      </c>
    </row>
    <row r="23" spans="1:8" x14ac:dyDescent="0.25">
      <c r="A23" s="347" t="s">
        <v>29</v>
      </c>
      <c r="B23" s="512">
        <v>1500</v>
      </c>
    </row>
    <row r="24" spans="1:8" x14ac:dyDescent="0.25">
      <c r="A24" s="347" t="s">
        <v>30</v>
      </c>
      <c r="B24" s="512">
        <v>200</v>
      </c>
    </row>
    <row r="25" spans="1:8" x14ac:dyDescent="0.25">
      <c r="A25" s="347" t="s">
        <v>31</v>
      </c>
      <c r="B25" s="512">
        <v>100</v>
      </c>
      <c r="C25" s="78" t="s">
        <v>469</v>
      </c>
    </row>
    <row r="26" spans="1:8" x14ac:dyDescent="0.25">
      <c r="A26" s="347"/>
      <c r="B26" s="512"/>
      <c r="C26" s="78" t="s">
        <v>475</v>
      </c>
    </row>
    <row r="27" spans="1:8" x14ac:dyDescent="0.25">
      <c r="A27" s="347"/>
      <c r="B27" s="512"/>
      <c r="C27" s="78" t="s">
        <v>470</v>
      </c>
    </row>
    <row r="28" spans="1:8" ht="14.4" thickBot="1" x14ac:dyDescent="0.3">
      <c r="A28" s="348" t="s">
        <v>32</v>
      </c>
      <c r="B28" s="513"/>
      <c r="C28" s="78" t="s">
        <v>323</v>
      </c>
    </row>
    <row r="29" spans="1:8" ht="14.4" thickBot="1" x14ac:dyDescent="0.3">
      <c r="A29" s="349"/>
      <c r="B29" s="514">
        <f>SUM(B18:B28)</f>
        <v>2000</v>
      </c>
    </row>
    <row r="30" spans="1:8" x14ac:dyDescent="0.25">
      <c r="A30" s="351"/>
      <c r="B30" s="476"/>
    </row>
    <row r="31" spans="1:8" x14ac:dyDescent="0.25">
      <c r="A31" s="510" t="s">
        <v>324</v>
      </c>
      <c r="B31" s="515">
        <f>B8+B16+B29</f>
        <v>6050</v>
      </c>
    </row>
  </sheetData>
  <sheetProtection algorithmName="SHA-512" hashValue="Pwanynxm1SZIOrMUwLmTk/VJTtBnTOphCVPPSgft+p3BfIoBvYJblUPxNuE4fSN9l0Y8giBRY3JJm4X9swrCpQ==" saltValue="2okkgdx3T2yTQK4CVcGaVA==" spinCount="100000" sheet="1" objects="1" scenarios="1"/>
  <pageMargins left="0.51181102362204722" right="0.31496062992125984" top="0.78740157480314965" bottom="0.78740157480314965" header="0.31496062992125984" footer="0.31496062992125984"/>
  <pageSetup paperSize="9"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81"/>
  <sheetViews>
    <sheetView zoomScale="90" zoomScaleNormal="90" workbookViewId="0">
      <pane ySplit="20" topLeftCell="A21" activePane="bottomLeft" state="frozen"/>
      <selection pane="bottomLeft" activeCell="E8" sqref="E8"/>
    </sheetView>
  </sheetViews>
  <sheetFormatPr baseColWidth="10" defaultColWidth="11.19921875" defaultRowHeight="13.8" x14ac:dyDescent="0.25"/>
  <cols>
    <col min="1" max="1" width="4.19921875" style="78" customWidth="1"/>
    <col min="2" max="2" width="5.3984375" style="78" customWidth="1"/>
    <col min="3" max="3" width="11.19921875" style="78"/>
    <col min="4" max="4" width="13.796875" style="78" customWidth="1"/>
    <col min="5" max="5" width="13.19921875" style="78" customWidth="1"/>
    <col min="6" max="6" width="0.296875" style="78" customWidth="1"/>
    <col min="7" max="7" width="13.796875" style="78" customWidth="1"/>
    <col min="8" max="9" width="11.19921875" style="78"/>
    <col min="10" max="10" width="13.796875" style="78" customWidth="1"/>
    <col min="11" max="11" width="5.296875" style="78" customWidth="1"/>
    <col min="12" max="16384" width="11.19921875" style="78"/>
  </cols>
  <sheetData>
    <row r="2" spans="2:15" ht="17.399999999999999" x14ac:dyDescent="0.3">
      <c r="B2" s="318" t="s">
        <v>321</v>
      </c>
      <c r="L2" s="113" t="s">
        <v>500</v>
      </c>
    </row>
    <row r="3" spans="2:15" x14ac:dyDescent="0.25">
      <c r="B3" s="113" t="s">
        <v>471</v>
      </c>
      <c r="L3" s="78" t="s">
        <v>515</v>
      </c>
    </row>
    <row r="4" spans="2:15" x14ac:dyDescent="0.25">
      <c r="B4" s="352" t="s">
        <v>320</v>
      </c>
      <c r="C4" s="353"/>
      <c r="D4" s="353"/>
      <c r="E4" s="354"/>
      <c r="L4" s="78" t="s">
        <v>513</v>
      </c>
    </row>
    <row r="5" spans="2:15" x14ac:dyDescent="0.25">
      <c r="B5" s="355" t="s">
        <v>328</v>
      </c>
      <c r="C5" s="356"/>
      <c r="D5" s="356"/>
      <c r="E5" s="384">
        <v>100000</v>
      </c>
      <c r="G5" s="357">
        <f>E5/2</f>
        <v>50000</v>
      </c>
      <c r="H5" s="729" t="s">
        <v>511</v>
      </c>
      <c r="I5" s="729"/>
      <c r="J5" s="730"/>
      <c r="L5" s="78" t="s">
        <v>514</v>
      </c>
    </row>
    <row r="6" spans="2:15" x14ac:dyDescent="0.25">
      <c r="B6" s="358" t="s">
        <v>143</v>
      </c>
      <c r="C6" s="359"/>
      <c r="D6" s="359"/>
      <c r="E6" s="385">
        <v>0.04</v>
      </c>
      <c r="G6" s="360"/>
      <c r="H6" s="84" t="s">
        <v>510</v>
      </c>
      <c r="I6" s="360"/>
      <c r="J6" s="360"/>
    </row>
    <row r="7" spans="2:15" x14ac:dyDescent="0.25">
      <c r="B7" s="358" t="s">
        <v>292</v>
      </c>
      <c r="C7" s="359"/>
      <c r="D7" s="359"/>
      <c r="E7" s="386">
        <v>15</v>
      </c>
      <c r="G7" s="84"/>
      <c r="H7" s="360" t="s">
        <v>407</v>
      </c>
      <c r="I7" s="84"/>
      <c r="J7" s="84"/>
      <c r="L7" s="78" t="s">
        <v>512</v>
      </c>
    </row>
    <row r="8" spans="2:15" x14ac:dyDescent="0.25">
      <c r="B8" s="358" t="s">
        <v>286</v>
      </c>
      <c r="C8" s="359"/>
      <c r="D8" s="359"/>
      <c r="E8" s="387">
        <v>44409</v>
      </c>
    </row>
    <row r="9" spans="2:15" hidden="1" x14ac:dyDescent="0.25">
      <c r="B9" s="361" t="s">
        <v>293</v>
      </c>
      <c r="C9" s="362"/>
      <c r="D9" s="362"/>
      <c r="E9" s="363">
        <v>0</v>
      </c>
    </row>
    <row r="10" spans="2:15" x14ac:dyDescent="0.25">
      <c r="L10" s="529"/>
      <c r="M10" s="416" t="s">
        <v>501</v>
      </c>
      <c r="N10" s="416"/>
      <c r="O10" s="354"/>
    </row>
    <row r="11" spans="2:15" x14ac:dyDescent="0.25">
      <c r="B11" s="364" t="s">
        <v>322</v>
      </c>
      <c r="C11" s="365"/>
      <c r="D11" s="365"/>
      <c r="E11" s="366"/>
      <c r="L11" s="530" t="s">
        <v>502</v>
      </c>
      <c r="M11" s="145" t="s">
        <v>503</v>
      </c>
      <c r="N11" s="145"/>
      <c r="O11" s="325"/>
    </row>
    <row r="12" spans="2:15" x14ac:dyDescent="0.25">
      <c r="B12" s="358" t="s">
        <v>294</v>
      </c>
      <c r="C12" s="359"/>
      <c r="D12" s="359"/>
      <c r="E12" s="516">
        <f>IF(E7&lt;&gt;0,PMT(E6/12,E7*12,-E5),"")</f>
        <v>739.68792560927022</v>
      </c>
      <c r="L12" s="530" t="s">
        <v>504</v>
      </c>
      <c r="M12" s="145" t="s">
        <v>505</v>
      </c>
      <c r="N12" s="145"/>
      <c r="O12" s="325"/>
    </row>
    <row r="13" spans="2:15" x14ac:dyDescent="0.25">
      <c r="B13" s="358" t="s">
        <v>295</v>
      </c>
      <c r="C13" s="359"/>
      <c r="D13" s="359"/>
      <c r="E13" s="367">
        <f>IF(E7&lt;&gt;"",E7*12,"")</f>
        <v>180</v>
      </c>
      <c r="L13" s="533" t="s">
        <v>506</v>
      </c>
      <c r="M13" s="416" t="s">
        <v>507</v>
      </c>
      <c r="N13" s="416"/>
      <c r="O13" s="354"/>
    </row>
    <row r="14" spans="2:15" x14ac:dyDescent="0.25">
      <c r="B14" s="358" t="s">
        <v>296</v>
      </c>
      <c r="C14" s="359"/>
      <c r="D14" s="359"/>
      <c r="E14" s="368">
        <f>COUNT(B21:B380)</f>
        <v>180</v>
      </c>
      <c r="L14" s="531" t="s">
        <v>502</v>
      </c>
      <c r="M14" s="526" t="s">
        <v>508</v>
      </c>
      <c r="N14" s="526"/>
      <c r="O14" s="328"/>
    </row>
    <row r="15" spans="2:15" ht="14.4" hidden="1" customHeight="1" x14ac:dyDescent="0.25">
      <c r="B15" s="358" t="s">
        <v>297</v>
      </c>
      <c r="C15" s="359"/>
      <c r="D15" s="359"/>
      <c r="E15" s="369">
        <f>SUM(F21:F380)</f>
        <v>0</v>
      </c>
      <c r="L15" s="78" t="s">
        <v>506</v>
      </c>
      <c r="M15" s="78" t="s">
        <v>509</v>
      </c>
    </row>
    <row r="16" spans="2:15" x14ac:dyDescent="0.25">
      <c r="B16" s="370" t="s">
        <v>298</v>
      </c>
      <c r="C16" s="371"/>
      <c r="D16" s="371"/>
      <c r="E16" s="372">
        <f>SUM(I21:I380)</f>
        <v>33143.826609668642</v>
      </c>
      <c r="L16" s="532" t="s">
        <v>506</v>
      </c>
      <c r="M16" s="527" t="s">
        <v>509</v>
      </c>
      <c r="N16" s="527"/>
      <c r="O16" s="528"/>
    </row>
    <row r="17" spans="2:16" x14ac:dyDescent="0.25">
      <c r="B17" s="373" t="s">
        <v>327</v>
      </c>
      <c r="C17" s="362"/>
      <c r="D17" s="362"/>
      <c r="E17" s="374">
        <f>E16/12</f>
        <v>2761.9855508057203</v>
      </c>
      <c r="F17" s="78" t="s">
        <v>325</v>
      </c>
      <c r="P17" s="145"/>
    </row>
    <row r="19" spans="2:16" ht="14.4" thickBot="1" x14ac:dyDescent="0.3">
      <c r="B19" s="375" t="s">
        <v>299</v>
      </c>
    </row>
    <row r="20" spans="2:16" ht="31.8" customHeight="1" thickBot="1" x14ac:dyDescent="0.3">
      <c r="B20" s="376" t="s">
        <v>287</v>
      </c>
      <c r="C20" s="377" t="s">
        <v>288</v>
      </c>
      <c r="D20" s="378" t="s">
        <v>300</v>
      </c>
      <c r="E20" s="379" t="s">
        <v>289</v>
      </c>
      <c r="F20" s="379" t="s">
        <v>301</v>
      </c>
      <c r="G20" s="379" t="s">
        <v>302</v>
      </c>
      <c r="H20" s="378" t="s">
        <v>290</v>
      </c>
      <c r="I20" s="378" t="s">
        <v>291</v>
      </c>
      <c r="J20" s="380" t="s">
        <v>303</v>
      </c>
    </row>
    <row r="21" spans="2:16" x14ac:dyDescent="0.25">
      <c r="B21" s="381">
        <f>IF(AND(E13&lt;&gt;0,E13&lt;""),1,"")</f>
        <v>1</v>
      </c>
      <c r="C21" s="382">
        <f>IF(B21&lt;&gt;"",E8,"")</f>
        <v>44409</v>
      </c>
      <c r="D21" s="90">
        <f>IF(B21&lt;&gt;"",E5,"")</f>
        <v>100000</v>
      </c>
      <c r="E21" s="90">
        <f>IF(B21&lt;&gt;"",$E$12,"")</f>
        <v>739.68792560927022</v>
      </c>
      <c r="F21" s="90">
        <f>IF(B21&lt;&gt;"",$E$9,"")</f>
        <v>0</v>
      </c>
      <c r="G21" s="90">
        <f>IF(B21&lt;&gt;"",E21+F21,"")</f>
        <v>739.68792560927022</v>
      </c>
      <c r="H21" s="90">
        <f>IF(B21&lt;&gt;"",E21+F21-I21,"")</f>
        <v>406.35459227593691</v>
      </c>
      <c r="I21" s="90">
        <f>IF(B21&lt;&gt;"",D21*$E$6/12,"")</f>
        <v>333.33333333333331</v>
      </c>
      <c r="J21" s="90">
        <f>IF(B21&lt;&gt;"",D21-H21,"")</f>
        <v>99593.645407724063</v>
      </c>
    </row>
    <row r="22" spans="2:16" x14ac:dyDescent="0.25">
      <c r="B22" s="78">
        <f t="shared" ref="B22:B53" si="0">IF(OR(ISERROR(IF(B21+1&lt;=$E$13,B21+1,"")),J21&lt;=0),"",IF(B21+1&lt;=$E$13,B21+1,""))</f>
        <v>2</v>
      </c>
      <c r="C22" s="383">
        <f>IF(B22&lt;&gt;"",DATE(YEAR(C21),MONTH(C21)+1,DAY(C21)),"")</f>
        <v>44440</v>
      </c>
      <c r="D22" s="90">
        <f>IF(B22&lt;&gt;"",J21,"")</f>
        <v>99593.645407724063</v>
      </c>
      <c r="E22" s="90">
        <f>IF(B22&lt;&gt;"",$E$12,"")</f>
        <v>739.68792560927022</v>
      </c>
      <c r="F22" s="90">
        <f>IF(B22&lt;&gt;"",$E$9,"")</f>
        <v>0</v>
      </c>
      <c r="G22" s="90">
        <f>IF(B22&lt;&gt;"",E22+F22,"")</f>
        <v>739.68792560927022</v>
      </c>
      <c r="H22" s="90">
        <f>IF(B22&lt;&gt;"",E22+F22-I22,"")</f>
        <v>407.70910758352335</v>
      </c>
      <c r="I22" s="90">
        <f>IF(B22&lt;&gt;"",D22*$E$6/12,"")</f>
        <v>331.97881802574688</v>
      </c>
      <c r="J22" s="90">
        <f>IF(B22&lt;&gt;"",D22-H22,"")</f>
        <v>99185.936300140544</v>
      </c>
    </row>
    <row r="23" spans="2:16" x14ac:dyDescent="0.25">
      <c r="B23" s="78">
        <f t="shared" si="0"/>
        <v>3</v>
      </c>
      <c r="C23" s="383">
        <f>IF(B23&lt;&gt;"",DATE(YEAR(C22),MONTH(C22)+1,DAY(C22)),"")</f>
        <v>44470</v>
      </c>
      <c r="D23" s="90">
        <f>IF(B23&lt;&gt;"",J22,"")</f>
        <v>99185.936300140544</v>
      </c>
      <c r="E23" s="90">
        <f t="shared" ref="E23:E86" si="1">IF(B23&lt;&gt;"",$E$12,"")</f>
        <v>739.68792560927022</v>
      </c>
      <c r="F23" s="90">
        <f t="shared" ref="F23:F86" si="2">IF(B23&lt;&gt;"",$E$9,"")</f>
        <v>0</v>
      </c>
      <c r="G23" s="90">
        <f t="shared" ref="G23:G86" si="3">IF(B23&lt;&gt;"",E23+F23,"")</f>
        <v>739.68792560927022</v>
      </c>
      <c r="H23" s="90">
        <f t="shared" ref="H23:H86" si="4">IF(B23&lt;&gt;"",E23+F23-I23,"")</f>
        <v>409.06813794213508</v>
      </c>
      <c r="I23" s="90">
        <f t="shared" ref="I23:I86" si="5">IF(B23&lt;&gt;"",D23*$E$6/12,"")</f>
        <v>330.61978766713514</v>
      </c>
      <c r="J23" s="90">
        <f t="shared" ref="J23:J86" si="6">IF(B23&lt;&gt;"",D23-H23,"")</f>
        <v>98776.868162198414</v>
      </c>
    </row>
    <row r="24" spans="2:16" x14ac:dyDescent="0.25">
      <c r="B24" s="78">
        <f t="shared" si="0"/>
        <v>4</v>
      </c>
      <c r="C24" s="383">
        <f t="shared" ref="C24:C87" si="7">IF(B24&lt;&gt;"",DATE(YEAR(C23),MONTH(C23)+1,DAY(C23)),"")</f>
        <v>44501</v>
      </c>
      <c r="D24" s="90">
        <f t="shared" ref="D24:D87" si="8">IF(B24&lt;&gt;"",J23,"")</f>
        <v>98776.868162198414</v>
      </c>
      <c r="E24" s="90">
        <f t="shared" si="1"/>
        <v>739.68792560927022</v>
      </c>
      <c r="F24" s="90">
        <f t="shared" si="2"/>
        <v>0</v>
      </c>
      <c r="G24" s="90">
        <f t="shared" si="3"/>
        <v>739.68792560927022</v>
      </c>
      <c r="H24" s="90">
        <f t="shared" si="4"/>
        <v>410.43169840194219</v>
      </c>
      <c r="I24" s="90">
        <f t="shared" si="5"/>
        <v>329.25622720732804</v>
      </c>
      <c r="J24" s="90">
        <f t="shared" si="6"/>
        <v>98366.436463796475</v>
      </c>
    </row>
    <row r="25" spans="2:16" x14ac:dyDescent="0.25">
      <c r="B25" s="78">
        <f t="shared" si="0"/>
        <v>5</v>
      </c>
      <c r="C25" s="383">
        <f t="shared" si="7"/>
        <v>44531</v>
      </c>
      <c r="D25" s="90">
        <f t="shared" si="8"/>
        <v>98366.436463796475</v>
      </c>
      <c r="E25" s="90">
        <f t="shared" si="1"/>
        <v>739.68792560927022</v>
      </c>
      <c r="F25" s="90">
        <f t="shared" si="2"/>
        <v>0</v>
      </c>
      <c r="G25" s="90">
        <f t="shared" si="3"/>
        <v>739.68792560927022</v>
      </c>
      <c r="H25" s="90">
        <f t="shared" si="4"/>
        <v>411.79980406328195</v>
      </c>
      <c r="I25" s="90">
        <f t="shared" si="5"/>
        <v>327.88812154598827</v>
      </c>
      <c r="J25" s="90">
        <f t="shared" si="6"/>
        <v>97954.636659733194</v>
      </c>
    </row>
    <row r="26" spans="2:16" x14ac:dyDescent="0.25">
      <c r="B26" s="78">
        <f t="shared" si="0"/>
        <v>6</v>
      </c>
      <c r="C26" s="383">
        <f t="shared" si="7"/>
        <v>44562</v>
      </c>
      <c r="D26" s="90">
        <f t="shared" si="8"/>
        <v>97954.636659733194</v>
      </c>
      <c r="E26" s="90">
        <f t="shared" si="1"/>
        <v>739.68792560927022</v>
      </c>
      <c r="F26" s="90">
        <f t="shared" si="2"/>
        <v>0</v>
      </c>
      <c r="G26" s="90">
        <f t="shared" si="3"/>
        <v>739.68792560927022</v>
      </c>
      <c r="H26" s="90">
        <f t="shared" si="4"/>
        <v>413.17247007682624</v>
      </c>
      <c r="I26" s="90">
        <f t="shared" si="5"/>
        <v>326.51545553244398</v>
      </c>
      <c r="J26" s="90">
        <f t="shared" si="6"/>
        <v>97541.46418965637</v>
      </c>
    </row>
    <row r="27" spans="2:16" x14ac:dyDescent="0.25">
      <c r="B27" s="78">
        <f t="shared" si="0"/>
        <v>7</v>
      </c>
      <c r="C27" s="383">
        <f t="shared" si="7"/>
        <v>44593</v>
      </c>
      <c r="D27" s="90">
        <f t="shared" si="8"/>
        <v>97541.46418965637</v>
      </c>
      <c r="E27" s="90">
        <f t="shared" si="1"/>
        <v>739.68792560927022</v>
      </c>
      <c r="F27" s="90">
        <f t="shared" si="2"/>
        <v>0</v>
      </c>
      <c r="G27" s="90">
        <f t="shared" si="3"/>
        <v>739.68792560927022</v>
      </c>
      <c r="H27" s="90">
        <f t="shared" si="4"/>
        <v>414.54971164374899</v>
      </c>
      <c r="I27" s="90">
        <f t="shared" si="5"/>
        <v>325.13821396552123</v>
      </c>
      <c r="J27" s="90">
        <f t="shared" si="6"/>
        <v>97126.914478012623</v>
      </c>
    </row>
    <row r="28" spans="2:16" x14ac:dyDescent="0.25">
      <c r="B28" s="78">
        <f t="shared" si="0"/>
        <v>8</v>
      </c>
      <c r="C28" s="383">
        <f t="shared" si="7"/>
        <v>44621</v>
      </c>
      <c r="D28" s="90">
        <f t="shared" si="8"/>
        <v>97126.914478012623</v>
      </c>
      <c r="E28" s="90">
        <f t="shared" si="1"/>
        <v>739.68792560927022</v>
      </c>
      <c r="F28" s="90">
        <f t="shared" si="2"/>
        <v>0</v>
      </c>
      <c r="G28" s="90">
        <f t="shared" si="3"/>
        <v>739.68792560927022</v>
      </c>
      <c r="H28" s="90">
        <f t="shared" si="4"/>
        <v>415.93154401589481</v>
      </c>
      <c r="I28" s="90">
        <f t="shared" si="5"/>
        <v>323.75638159337541</v>
      </c>
      <c r="J28" s="90">
        <f t="shared" si="6"/>
        <v>96710.982933996725</v>
      </c>
    </row>
    <row r="29" spans="2:16" x14ac:dyDescent="0.25">
      <c r="B29" s="78">
        <f t="shared" si="0"/>
        <v>9</v>
      </c>
      <c r="C29" s="383">
        <f t="shared" si="7"/>
        <v>44652</v>
      </c>
      <c r="D29" s="90">
        <f t="shared" si="8"/>
        <v>96710.982933996725</v>
      </c>
      <c r="E29" s="90">
        <f t="shared" si="1"/>
        <v>739.68792560927022</v>
      </c>
      <c r="F29" s="90">
        <f t="shared" si="2"/>
        <v>0</v>
      </c>
      <c r="G29" s="90">
        <f t="shared" si="3"/>
        <v>739.68792560927022</v>
      </c>
      <c r="H29" s="90">
        <f t="shared" si="4"/>
        <v>417.31798249594777</v>
      </c>
      <c r="I29" s="90">
        <f t="shared" si="5"/>
        <v>322.36994311332245</v>
      </c>
      <c r="J29" s="90">
        <f t="shared" si="6"/>
        <v>96293.664951500774</v>
      </c>
    </row>
    <row r="30" spans="2:16" x14ac:dyDescent="0.25">
      <c r="B30" s="78">
        <f t="shared" si="0"/>
        <v>10</v>
      </c>
      <c r="C30" s="383">
        <f t="shared" si="7"/>
        <v>44682</v>
      </c>
      <c r="D30" s="90">
        <f t="shared" si="8"/>
        <v>96293.664951500774</v>
      </c>
      <c r="E30" s="90">
        <f t="shared" si="1"/>
        <v>739.68792560927022</v>
      </c>
      <c r="F30" s="90">
        <f t="shared" si="2"/>
        <v>0</v>
      </c>
      <c r="G30" s="90">
        <f t="shared" si="3"/>
        <v>739.68792560927022</v>
      </c>
      <c r="H30" s="90">
        <f t="shared" si="4"/>
        <v>418.709042437601</v>
      </c>
      <c r="I30" s="90">
        <f t="shared" si="5"/>
        <v>320.97888317166922</v>
      </c>
      <c r="J30" s="90">
        <f t="shared" si="6"/>
        <v>95874.955909063166</v>
      </c>
    </row>
    <row r="31" spans="2:16" x14ac:dyDescent="0.25">
      <c r="B31" s="78">
        <f t="shared" si="0"/>
        <v>11</v>
      </c>
      <c r="C31" s="383">
        <f t="shared" si="7"/>
        <v>44713</v>
      </c>
      <c r="D31" s="90">
        <f t="shared" si="8"/>
        <v>95874.955909063166</v>
      </c>
      <c r="E31" s="90">
        <f t="shared" si="1"/>
        <v>739.68792560927022</v>
      </c>
      <c r="F31" s="90">
        <f t="shared" si="2"/>
        <v>0</v>
      </c>
      <c r="G31" s="90">
        <f t="shared" si="3"/>
        <v>739.68792560927022</v>
      </c>
      <c r="H31" s="90">
        <f t="shared" si="4"/>
        <v>420.10473924572631</v>
      </c>
      <c r="I31" s="90">
        <f t="shared" si="5"/>
        <v>319.58318636354392</v>
      </c>
      <c r="J31" s="90">
        <f t="shared" si="6"/>
        <v>95454.851169817441</v>
      </c>
    </row>
    <row r="32" spans="2:16" x14ac:dyDescent="0.25">
      <c r="B32" s="78">
        <f t="shared" si="0"/>
        <v>12</v>
      </c>
      <c r="C32" s="383">
        <f t="shared" si="7"/>
        <v>44743</v>
      </c>
      <c r="D32" s="90">
        <f t="shared" si="8"/>
        <v>95454.851169817441</v>
      </c>
      <c r="E32" s="90">
        <f t="shared" si="1"/>
        <v>739.68792560927022</v>
      </c>
      <c r="F32" s="90">
        <f t="shared" si="2"/>
        <v>0</v>
      </c>
      <c r="G32" s="90">
        <f t="shared" si="3"/>
        <v>739.68792560927022</v>
      </c>
      <c r="H32" s="90">
        <f t="shared" si="4"/>
        <v>421.50508837654542</v>
      </c>
      <c r="I32" s="90">
        <f t="shared" si="5"/>
        <v>318.18283723272481</v>
      </c>
      <c r="J32" s="90">
        <f t="shared" si="6"/>
        <v>95033.34608144089</v>
      </c>
    </row>
    <row r="33" spans="2:10" x14ac:dyDescent="0.25">
      <c r="B33" s="78">
        <f t="shared" si="0"/>
        <v>13</v>
      </c>
      <c r="C33" s="383">
        <f t="shared" si="7"/>
        <v>44774</v>
      </c>
      <c r="D33" s="90">
        <f t="shared" si="8"/>
        <v>95033.34608144089</v>
      </c>
      <c r="E33" s="90">
        <f t="shared" si="1"/>
        <v>739.68792560927022</v>
      </c>
      <c r="F33" s="90">
        <f t="shared" si="2"/>
        <v>0</v>
      </c>
      <c r="G33" s="90">
        <f t="shared" si="3"/>
        <v>739.68792560927022</v>
      </c>
      <c r="H33" s="90">
        <f t="shared" si="4"/>
        <v>422.91010533780059</v>
      </c>
      <c r="I33" s="90">
        <f t="shared" si="5"/>
        <v>316.77782027146964</v>
      </c>
      <c r="J33" s="90">
        <f t="shared" si="6"/>
        <v>94610.435976103094</v>
      </c>
    </row>
    <row r="34" spans="2:10" x14ac:dyDescent="0.25">
      <c r="B34" s="78">
        <f t="shared" si="0"/>
        <v>14</v>
      </c>
      <c r="C34" s="383">
        <f t="shared" si="7"/>
        <v>44805</v>
      </c>
      <c r="D34" s="90">
        <f t="shared" si="8"/>
        <v>94610.435976103094</v>
      </c>
      <c r="E34" s="90">
        <f t="shared" si="1"/>
        <v>739.68792560927022</v>
      </c>
      <c r="F34" s="90">
        <f t="shared" si="2"/>
        <v>0</v>
      </c>
      <c r="G34" s="90">
        <f t="shared" si="3"/>
        <v>739.68792560927022</v>
      </c>
      <c r="H34" s="90">
        <f t="shared" si="4"/>
        <v>424.31980568892658</v>
      </c>
      <c r="I34" s="90">
        <f t="shared" si="5"/>
        <v>315.36811992034364</v>
      </c>
      <c r="J34" s="90">
        <f t="shared" si="6"/>
        <v>94186.11617041417</v>
      </c>
    </row>
    <row r="35" spans="2:10" x14ac:dyDescent="0.25">
      <c r="B35" s="78">
        <f t="shared" si="0"/>
        <v>15</v>
      </c>
      <c r="C35" s="383">
        <f t="shared" si="7"/>
        <v>44835</v>
      </c>
      <c r="D35" s="90">
        <f t="shared" si="8"/>
        <v>94186.11617041417</v>
      </c>
      <c r="E35" s="90">
        <f t="shared" si="1"/>
        <v>739.68792560927022</v>
      </c>
      <c r="F35" s="90">
        <f t="shared" si="2"/>
        <v>0</v>
      </c>
      <c r="G35" s="90">
        <f t="shared" si="3"/>
        <v>739.68792560927022</v>
      </c>
      <c r="H35" s="90">
        <f t="shared" si="4"/>
        <v>425.73420504122299</v>
      </c>
      <c r="I35" s="90">
        <f t="shared" si="5"/>
        <v>313.95372056804723</v>
      </c>
      <c r="J35" s="90">
        <f t="shared" si="6"/>
        <v>93760.381965372944</v>
      </c>
    </row>
    <row r="36" spans="2:10" x14ac:dyDescent="0.25">
      <c r="B36" s="78">
        <f t="shared" si="0"/>
        <v>16</v>
      </c>
      <c r="C36" s="383">
        <f t="shared" si="7"/>
        <v>44866</v>
      </c>
      <c r="D36" s="90">
        <f t="shared" si="8"/>
        <v>93760.381965372944</v>
      </c>
      <c r="E36" s="90">
        <f t="shared" si="1"/>
        <v>739.68792560927022</v>
      </c>
      <c r="F36" s="90">
        <f t="shared" si="2"/>
        <v>0</v>
      </c>
      <c r="G36" s="90">
        <f t="shared" si="3"/>
        <v>739.68792560927022</v>
      </c>
      <c r="H36" s="90">
        <f t="shared" si="4"/>
        <v>427.15331905802708</v>
      </c>
      <c r="I36" s="90">
        <f t="shared" si="5"/>
        <v>312.53460655124314</v>
      </c>
      <c r="J36" s="90">
        <f t="shared" si="6"/>
        <v>93333.228646314921</v>
      </c>
    </row>
    <row r="37" spans="2:10" x14ac:dyDescent="0.25">
      <c r="B37" s="78">
        <f t="shared" si="0"/>
        <v>17</v>
      </c>
      <c r="C37" s="383">
        <f t="shared" si="7"/>
        <v>44896</v>
      </c>
      <c r="D37" s="90">
        <f t="shared" si="8"/>
        <v>93333.228646314921</v>
      </c>
      <c r="E37" s="90">
        <f t="shared" si="1"/>
        <v>739.68792560927022</v>
      </c>
      <c r="F37" s="90">
        <f t="shared" si="2"/>
        <v>0</v>
      </c>
      <c r="G37" s="90">
        <f t="shared" si="3"/>
        <v>739.68792560927022</v>
      </c>
      <c r="H37" s="90">
        <f t="shared" si="4"/>
        <v>428.57716345488717</v>
      </c>
      <c r="I37" s="90">
        <f t="shared" si="5"/>
        <v>311.11076215438305</v>
      </c>
      <c r="J37" s="90">
        <f t="shared" si="6"/>
        <v>92904.651482860034</v>
      </c>
    </row>
    <row r="38" spans="2:10" x14ac:dyDescent="0.25">
      <c r="B38" s="78">
        <f t="shared" si="0"/>
        <v>18</v>
      </c>
      <c r="C38" s="383">
        <f t="shared" si="7"/>
        <v>44927</v>
      </c>
      <c r="D38" s="90">
        <f t="shared" si="8"/>
        <v>92904.651482860034</v>
      </c>
      <c r="E38" s="90">
        <f t="shared" si="1"/>
        <v>739.68792560927022</v>
      </c>
      <c r="F38" s="90">
        <f t="shared" si="2"/>
        <v>0</v>
      </c>
      <c r="G38" s="90">
        <f t="shared" si="3"/>
        <v>739.68792560927022</v>
      </c>
      <c r="H38" s="90">
        <f t="shared" si="4"/>
        <v>430.00575399973678</v>
      </c>
      <c r="I38" s="90">
        <f t="shared" si="5"/>
        <v>309.68217160953344</v>
      </c>
      <c r="J38" s="90">
        <f t="shared" si="6"/>
        <v>92474.645728860298</v>
      </c>
    </row>
    <row r="39" spans="2:10" x14ac:dyDescent="0.25">
      <c r="B39" s="78">
        <f t="shared" si="0"/>
        <v>19</v>
      </c>
      <c r="C39" s="383">
        <f t="shared" si="7"/>
        <v>44958</v>
      </c>
      <c r="D39" s="90">
        <f t="shared" si="8"/>
        <v>92474.645728860298</v>
      </c>
      <c r="E39" s="90">
        <f t="shared" si="1"/>
        <v>739.68792560927022</v>
      </c>
      <c r="F39" s="90">
        <f t="shared" si="2"/>
        <v>0</v>
      </c>
      <c r="G39" s="90">
        <f t="shared" si="3"/>
        <v>739.68792560927022</v>
      </c>
      <c r="H39" s="90">
        <f t="shared" si="4"/>
        <v>431.43910651306925</v>
      </c>
      <c r="I39" s="90">
        <f t="shared" si="5"/>
        <v>308.24881909620098</v>
      </c>
      <c r="J39" s="90">
        <f t="shared" si="6"/>
        <v>92043.206622347236</v>
      </c>
    </row>
    <row r="40" spans="2:10" x14ac:dyDescent="0.25">
      <c r="B40" s="78">
        <f t="shared" si="0"/>
        <v>20</v>
      </c>
      <c r="C40" s="383">
        <f t="shared" si="7"/>
        <v>44986</v>
      </c>
      <c r="D40" s="90">
        <f t="shared" si="8"/>
        <v>92043.206622347236</v>
      </c>
      <c r="E40" s="90">
        <f t="shared" si="1"/>
        <v>739.68792560927022</v>
      </c>
      <c r="F40" s="90">
        <f t="shared" si="2"/>
        <v>0</v>
      </c>
      <c r="G40" s="90">
        <f t="shared" si="3"/>
        <v>739.68792560927022</v>
      </c>
      <c r="H40" s="90">
        <f t="shared" si="4"/>
        <v>432.87723686811279</v>
      </c>
      <c r="I40" s="90">
        <f t="shared" si="5"/>
        <v>306.81068874115743</v>
      </c>
      <c r="J40" s="90">
        <f t="shared" si="6"/>
        <v>91610.329385479126</v>
      </c>
    </row>
    <row r="41" spans="2:10" x14ac:dyDescent="0.25">
      <c r="B41" s="78">
        <f t="shared" si="0"/>
        <v>21</v>
      </c>
      <c r="C41" s="383">
        <f t="shared" si="7"/>
        <v>45017</v>
      </c>
      <c r="D41" s="90">
        <f t="shared" si="8"/>
        <v>91610.329385479126</v>
      </c>
      <c r="E41" s="90">
        <f t="shared" si="1"/>
        <v>739.68792560927022</v>
      </c>
      <c r="F41" s="90">
        <f t="shared" si="2"/>
        <v>0</v>
      </c>
      <c r="G41" s="90">
        <f t="shared" si="3"/>
        <v>739.68792560927022</v>
      </c>
      <c r="H41" s="90">
        <f t="shared" si="4"/>
        <v>434.32016099100645</v>
      </c>
      <c r="I41" s="90">
        <f t="shared" si="5"/>
        <v>305.36776461826378</v>
      </c>
      <c r="J41" s="90">
        <f t="shared" si="6"/>
        <v>91176.009224488123</v>
      </c>
    </row>
    <row r="42" spans="2:10" x14ac:dyDescent="0.25">
      <c r="B42" s="78">
        <f t="shared" si="0"/>
        <v>22</v>
      </c>
      <c r="C42" s="383">
        <f t="shared" si="7"/>
        <v>45047</v>
      </c>
      <c r="D42" s="90">
        <f t="shared" si="8"/>
        <v>91176.009224488123</v>
      </c>
      <c r="E42" s="90">
        <f t="shared" si="1"/>
        <v>739.68792560927022</v>
      </c>
      <c r="F42" s="90">
        <f t="shared" si="2"/>
        <v>0</v>
      </c>
      <c r="G42" s="90">
        <f t="shared" si="3"/>
        <v>739.68792560927022</v>
      </c>
      <c r="H42" s="90">
        <f t="shared" si="4"/>
        <v>435.76789486097647</v>
      </c>
      <c r="I42" s="90">
        <f t="shared" si="5"/>
        <v>303.92003074829375</v>
      </c>
      <c r="J42" s="90">
        <f t="shared" si="6"/>
        <v>90740.241329627141</v>
      </c>
    </row>
    <row r="43" spans="2:10" x14ac:dyDescent="0.25">
      <c r="B43" s="78">
        <f t="shared" si="0"/>
        <v>23</v>
      </c>
      <c r="C43" s="383">
        <f t="shared" si="7"/>
        <v>45078</v>
      </c>
      <c r="D43" s="90">
        <f t="shared" si="8"/>
        <v>90740.241329627141</v>
      </c>
      <c r="E43" s="90">
        <f t="shared" si="1"/>
        <v>739.68792560927022</v>
      </c>
      <c r="F43" s="90">
        <f t="shared" si="2"/>
        <v>0</v>
      </c>
      <c r="G43" s="90">
        <f t="shared" si="3"/>
        <v>739.68792560927022</v>
      </c>
      <c r="H43" s="90">
        <f t="shared" si="4"/>
        <v>437.22045451051309</v>
      </c>
      <c r="I43" s="90">
        <f t="shared" si="5"/>
        <v>302.46747109875713</v>
      </c>
      <c r="J43" s="90">
        <f t="shared" si="6"/>
        <v>90303.020875116621</v>
      </c>
    </row>
    <row r="44" spans="2:10" x14ac:dyDescent="0.25">
      <c r="B44" s="78">
        <f t="shared" si="0"/>
        <v>24</v>
      </c>
      <c r="C44" s="383">
        <f t="shared" si="7"/>
        <v>45108</v>
      </c>
      <c r="D44" s="90">
        <f t="shared" si="8"/>
        <v>90303.020875116621</v>
      </c>
      <c r="E44" s="90">
        <f t="shared" si="1"/>
        <v>739.68792560927022</v>
      </c>
      <c r="F44" s="90">
        <f t="shared" si="2"/>
        <v>0</v>
      </c>
      <c r="G44" s="90">
        <f t="shared" si="3"/>
        <v>739.68792560927022</v>
      </c>
      <c r="H44" s="90">
        <f t="shared" si="4"/>
        <v>438.67785602554812</v>
      </c>
      <c r="I44" s="90">
        <f t="shared" si="5"/>
        <v>301.0100695837221</v>
      </c>
      <c r="J44" s="90">
        <f t="shared" si="6"/>
        <v>89864.343019091073</v>
      </c>
    </row>
    <row r="45" spans="2:10" x14ac:dyDescent="0.25">
      <c r="B45" s="78">
        <f t="shared" si="0"/>
        <v>25</v>
      </c>
      <c r="C45" s="383">
        <f t="shared" si="7"/>
        <v>45139</v>
      </c>
      <c r="D45" s="90">
        <f t="shared" si="8"/>
        <v>89864.343019091073</v>
      </c>
      <c r="E45" s="90">
        <f t="shared" si="1"/>
        <v>739.68792560927022</v>
      </c>
      <c r="F45" s="90">
        <f t="shared" si="2"/>
        <v>0</v>
      </c>
      <c r="G45" s="90">
        <f t="shared" si="3"/>
        <v>739.68792560927022</v>
      </c>
      <c r="H45" s="90">
        <f t="shared" si="4"/>
        <v>440.14011554563331</v>
      </c>
      <c r="I45" s="90">
        <f t="shared" si="5"/>
        <v>299.54781006363692</v>
      </c>
      <c r="J45" s="90">
        <f t="shared" si="6"/>
        <v>89424.202903545432</v>
      </c>
    </row>
    <row r="46" spans="2:10" x14ac:dyDescent="0.25">
      <c r="B46" s="78">
        <f t="shared" si="0"/>
        <v>26</v>
      </c>
      <c r="C46" s="383">
        <f t="shared" si="7"/>
        <v>45170</v>
      </c>
      <c r="D46" s="90">
        <f t="shared" si="8"/>
        <v>89424.202903545432</v>
      </c>
      <c r="E46" s="90">
        <f t="shared" si="1"/>
        <v>739.68792560927022</v>
      </c>
      <c r="F46" s="90">
        <f t="shared" si="2"/>
        <v>0</v>
      </c>
      <c r="G46" s="90">
        <f t="shared" si="3"/>
        <v>739.68792560927022</v>
      </c>
      <c r="H46" s="90">
        <f t="shared" si="4"/>
        <v>441.60724926411876</v>
      </c>
      <c r="I46" s="90">
        <f t="shared" si="5"/>
        <v>298.08067634515146</v>
      </c>
      <c r="J46" s="90">
        <f t="shared" si="6"/>
        <v>88982.595654281307</v>
      </c>
    </row>
    <row r="47" spans="2:10" x14ac:dyDescent="0.25">
      <c r="B47" s="78">
        <f t="shared" si="0"/>
        <v>27</v>
      </c>
      <c r="C47" s="383">
        <f t="shared" si="7"/>
        <v>45200</v>
      </c>
      <c r="D47" s="90">
        <f t="shared" si="8"/>
        <v>88982.595654281307</v>
      </c>
      <c r="E47" s="90">
        <f t="shared" si="1"/>
        <v>739.68792560927022</v>
      </c>
      <c r="F47" s="90">
        <f t="shared" si="2"/>
        <v>0</v>
      </c>
      <c r="G47" s="90">
        <f t="shared" si="3"/>
        <v>739.68792560927022</v>
      </c>
      <c r="H47" s="90">
        <f t="shared" si="4"/>
        <v>443.07927342833256</v>
      </c>
      <c r="I47" s="90">
        <f t="shared" si="5"/>
        <v>296.60865218093767</v>
      </c>
      <c r="J47" s="90">
        <f t="shared" si="6"/>
        <v>88539.516380852976</v>
      </c>
    </row>
    <row r="48" spans="2:10" x14ac:dyDescent="0.25">
      <c r="B48" s="78">
        <f t="shared" si="0"/>
        <v>28</v>
      </c>
      <c r="C48" s="383">
        <f t="shared" si="7"/>
        <v>45231</v>
      </c>
      <c r="D48" s="90">
        <f t="shared" si="8"/>
        <v>88539.516380852976</v>
      </c>
      <c r="E48" s="90">
        <f t="shared" si="1"/>
        <v>739.68792560927022</v>
      </c>
      <c r="F48" s="90">
        <f t="shared" si="2"/>
        <v>0</v>
      </c>
      <c r="G48" s="90">
        <f t="shared" si="3"/>
        <v>739.68792560927022</v>
      </c>
      <c r="H48" s="90">
        <f t="shared" si="4"/>
        <v>444.55620433976031</v>
      </c>
      <c r="I48" s="90">
        <f t="shared" si="5"/>
        <v>295.13172126950991</v>
      </c>
      <c r="J48" s="90">
        <f t="shared" si="6"/>
        <v>88094.96017651321</v>
      </c>
    </row>
    <row r="49" spans="2:10" x14ac:dyDescent="0.25">
      <c r="B49" s="78">
        <f t="shared" si="0"/>
        <v>29</v>
      </c>
      <c r="C49" s="383">
        <f t="shared" si="7"/>
        <v>45261</v>
      </c>
      <c r="D49" s="90">
        <f t="shared" si="8"/>
        <v>88094.96017651321</v>
      </c>
      <c r="E49" s="90">
        <f t="shared" si="1"/>
        <v>739.68792560927022</v>
      </c>
      <c r="F49" s="90">
        <f t="shared" si="2"/>
        <v>0</v>
      </c>
      <c r="G49" s="90">
        <f t="shared" si="3"/>
        <v>739.68792560927022</v>
      </c>
      <c r="H49" s="90">
        <f t="shared" si="4"/>
        <v>446.03805835422617</v>
      </c>
      <c r="I49" s="90">
        <f t="shared" si="5"/>
        <v>293.64986725504406</v>
      </c>
      <c r="J49" s="90">
        <f t="shared" si="6"/>
        <v>87648.922118158982</v>
      </c>
    </row>
    <row r="50" spans="2:10" x14ac:dyDescent="0.25">
      <c r="B50" s="78">
        <f t="shared" si="0"/>
        <v>30</v>
      </c>
      <c r="C50" s="383">
        <f t="shared" si="7"/>
        <v>45292</v>
      </c>
      <c r="D50" s="90">
        <f t="shared" si="8"/>
        <v>87648.922118158982</v>
      </c>
      <c r="E50" s="90">
        <f t="shared" si="1"/>
        <v>739.68792560927022</v>
      </c>
      <c r="F50" s="90">
        <f t="shared" si="2"/>
        <v>0</v>
      </c>
      <c r="G50" s="90">
        <f t="shared" si="3"/>
        <v>739.68792560927022</v>
      </c>
      <c r="H50" s="90">
        <f t="shared" si="4"/>
        <v>447.52485188207362</v>
      </c>
      <c r="I50" s="90">
        <f t="shared" si="5"/>
        <v>292.1630737271966</v>
      </c>
      <c r="J50" s="90">
        <f t="shared" si="6"/>
        <v>87201.397266276908</v>
      </c>
    </row>
    <row r="51" spans="2:10" x14ac:dyDescent="0.25">
      <c r="B51" s="78">
        <f t="shared" si="0"/>
        <v>31</v>
      </c>
      <c r="C51" s="383">
        <f t="shared" si="7"/>
        <v>45323</v>
      </c>
      <c r="D51" s="90">
        <f t="shared" si="8"/>
        <v>87201.397266276908</v>
      </c>
      <c r="E51" s="90">
        <f t="shared" si="1"/>
        <v>739.68792560927022</v>
      </c>
      <c r="F51" s="90">
        <f t="shared" si="2"/>
        <v>0</v>
      </c>
      <c r="G51" s="90">
        <f t="shared" si="3"/>
        <v>739.68792560927022</v>
      </c>
      <c r="H51" s="90">
        <f t="shared" si="4"/>
        <v>449.01660138834717</v>
      </c>
      <c r="I51" s="90">
        <f t="shared" si="5"/>
        <v>290.67132422092305</v>
      </c>
      <c r="J51" s="90">
        <f t="shared" si="6"/>
        <v>86752.380664888566</v>
      </c>
    </row>
    <row r="52" spans="2:10" x14ac:dyDescent="0.25">
      <c r="B52" s="78">
        <f t="shared" si="0"/>
        <v>32</v>
      </c>
      <c r="C52" s="383">
        <f t="shared" si="7"/>
        <v>45352</v>
      </c>
      <c r="D52" s="90">
        <f t="shared" si="8"/>
        <v>86752.380664888566</v>
      </c>
      <c r="E52" s="90">
        <f t="shared" si="1"/>
        <v>739.68792560927022</v>
      </c>
      <c r="F52" s="90">
        <f t="shared" si="2"/>
        <v>0</v>
      </c>
      <c r="G52" s="90">
        <f t="shared" si="3"/>
        <v>739.68792560927022</v>
      </c>
      <c r="H52" s="90">
        <f t="shared" si="4"/>
        <v>450.513323392975</v>
      </c>
      <c r="I52" s="90">
        <f t="shared" si="5"/>
        <v>289.17460221629523</v>
      </c>
      <c r="J52" s="90">
        <f t="shared" si="6"/>
        <v>86301.867341495585</v>
      </c>
    </row>
    <row r="53" spans="2:10" x14ac:dyDescent="0.25">
      <c r="B53" s="78">
        <f t="shared" si="0"/>
        <v>33</v>
      </c>
      <c r="C53" s="383">
        <f t="shared" si="7"/>
        <v>45383</v>
      </c>
      <c r="D53" s="90">
        <f t="shared" si="8"/>
        <v>86301.867341495585</v>
      </c>
      <c r="E53" s="90">
        <f t="shared" si="1"/>
        <v>739.68792560927022</v>
      </c>
      <c r="F53" s="90">
        <f t="shared" si="2"/>
        <v>0</v>
      </c>
      <c r="G53" s="90">
        <f t="shared" si="3"/>
        <v>739.68792560927022</v>
      </c>
      <c r="H53" s="90">
        <f t="shared" si="4"/>
        <v>452.0150344709516</v>
      </c>
      <c r="I53" s="90">
        <f t="shared" si="5"/>
        <v>287.67289113831862</v>
      </c>
      <c r="J53" s="90">
        <f t="shared" si="6"/>
        <v>85849.85230702463</v>
      </c>
    </row>
    <row r="54" spans="2:10" x14ac:dyDescent="0.25">
      <c r="B54" s="78">
        <f t="shared" ref="B54:B86" si="9">IF(OR(ISERROR(IF(B53+1&lt;=$E$13,B53+1,"")),J53&lt;=0),"",IF(B53+1&lt;=$E$13,B53+1,""))</f>
        <v>34</v>
      </c>
      <c r="C54" s="383">
        <f t="shared" si="7"/>
        <v>45413</v>
      </c>
      <c r="D54" s="90">
        <f t="shared" si="8"/>
        <v>85849.85230702463</v>
      </c>
      <c r="E54" s="90">
        <f t="shared" si="1"/>
        <v>739.68792560927022</v>
      </c>
      <c r="F54" s="90">
        <f t="shared" si="2"/>
        <v>0</v>
      </c>
      <c r="G54" s="90">
        <f t="shared" si="3"/>
        <v>739.68792560927022</v>
      </c>
      <c r="H54" s="90">
        <f t="shared" si="4"/>
        <v>453.52175125252148</v>
      </c>
      <c r="I54" s="90">
        <f t="shared" si="5"/>
        <v>286.16617435674874</v>
      </c>
      <c r="J54" s="90">
        <f t="shared" si="6"/>
        <v>85396.330555772103</v>
      </c>
    </row>
    <row r="55" spans="2:10" x14ac:dyDescent="0.25">
      <c r="B55" s="78">
        <f t="shared" si="9"/>
        <v>35</v>
      </c>
      <c r="C55" s="383">
        <f t="shared" si="7"/>
        <v>45444</v>
      </c>
      <c r="D55" s="90">
        <f t="shared" si="8"/>
        <v>85396.330555772103</v>
      </c>
      <c r="E55" s="90">
        <f t="shared" si="1"/>
        <v>739.68792560927022</v>
      </c>
      <c r="F55" s="90">
        <f t="shared" si="2"/>
        <v>0</v>
      </c>
      <c r="G55" s="90">
        <f t="shared" si="3"/>
        <v>739.68792560927022</v>
      </c>
      <c r="H55" s="90">
        <f t="shared" si="4"/>
        <v>455.03349042336322</v>
      </c>
      <c r="I55" s="90">
        <f t="shared" si="5"/>
        <v>284.654435185907</v>
      </c>
      <c r="J55" s="90">
        <f t="shared" si="6"/>
        <v>84941.297065348743</v>
      </c>
    </row>
    <row r="56" spans="2:10" x14ac:dyDescent="0.25">
      <c r="B56" s="78">
        <f t="shared" si="9"/>
        <v>36</v>
      </c>
      <c r="C56" s="383">
        <f t="shared" si="7"/>
        <v>45474</v>
      </c>
      <c r="D56" s="90">
        <f t="shared" si="8"/>
        <v>84941.297065348743</v>
      </c>
      <c r="E56" s="90">
        <f t="shared" si="1"/>
        <v>739.68792560927022</v>
      </c>
      <c r="F56" s="90">
        <f t="shared" si="2"/>
        <v>0</v>
      </c>
      <c r="G56" s="90">
        <f t="shared" si="3"/>
        <v>739.68792560927022</v>
      </c>
      <c r="H56" s="90">
        <f t="shared" si="4"/>
        <v>456.55026872477441</v>
      </c>
      <c r="I56" s="90">
        <f t="shared" si="5"/>
        <v>283.13765688449581</v>
      </c>
      <c r="J56" s="90">
        <f t="shared" si="6"/>
        <v>84484.746796623964</v>
      </c>
    </row>
    <row r="57" spans="2:10" x14ac:dyDescent="0.25">
      <c r="B57" s="78">
        <f t="shared" si="9"/>
        <v>37</v>
      </c>
      <c r="C57" s="383">
        <f t="shared" si="7"/>
        <v>45505</v>
      </c>
      <c r="D57" s="90">
        <f t="shared" si="8"/>
        <v>84484.746796623964</v>
      </c>
      <c r="E57" s="90">
        <f t="shared" si="1"/>
        <v>739.68792560927022</v>
      </c>
      <c r="F57" s="90">
        <f t="shared" si="2"/>
        <v>0</v>
      </c>
      <c r="G57" s="90">
        <f t="shared" si="3"/>
        <v>739.68792560927022</v>
      </c>
      <c r="H57" s="90">
        <f t="shared" si="4"/>
        <v>458.07210295385704</v>
      </c>
      <c r="I57" s="90">
        <f t="shared" si="5"/>
        <v>281.61582265541318</v>
      </c>
      <c r="J57" s="90">
        <f t="shared" si="6"/>
        <v>84026.674693670109</v>
      </c>
    </row>
    <row r="58" spans="2:10" x14ac:dyDescent="0.25">
      <c r="B58" s="78">
        <f t="shared" si="9"/>
        <v>38</v>
      </c>
      <c r="C58" s="383">
        <f t="shared" si="7"/>
        <v>45536</v>
      </c>
      <c r="D58" s="90">
        <f t="shared" si="8"/>
        <v>84026.674693670109</v>
      </c>
      <c r="E58" s="90">
        <f t="shared" si="1"/>
        <v>739.68792560927022</v>
      </c>
      <c r="F58" s="90">
        <f t="shared" si="2"/>
        <v>0</v>
      </c>
      <c r="G58" s="90">
        <f t="shared" si="3"/>
        <v>739.68792560927022</v>
      </c>
      <c r="H58" s="90">
        <f t="shared" si="4"/>
        <v>459.59900996370317</v>
      </c>
      <c r="I58" s="90">
        <f t="shared" si="5"/>
        <v>280.08891564556706</v>
      </c>
      <c r="J58" s="90">
        <f t="shared" si="6"/>
        <v>83567.075683706411</v>
      </c>
    </row>
    <row r="59" spans="2:10" x14ac:dyDescent="0.25">
      <c r="B59" s="78">
        <f t="shared" si="9"/>
        <v>39</v>
      </c>
      <c r="C59" s="383">
        <f t="shared" si="7"/>
        <v>45566</v>
      </c>
      <c r="D59" s="90">
        <f t="shared" si="8"/>
        <v>83567.075683706411</v>
      </c>
      <c r="E59" s="90">
        <f t="shared" si="1"/>
        <v>739.68792560927022</v>
      </c>
      <c r="F59" s="90">
        <f t="shared" si="2"/>
        <v>0</v>
      </c>
      <c r="G59" s="90">
        <f t="shared" si="3"/>
        <v>739.68792560927022</v>
      </c>
      <c r="H59" s="90">
        <f t="shared" si="4"/>
        <v>461.13100666358218</v>
      </c>
      <c r="I59" s="90">
        <f t="shared" si="5"/>
        <v>278.55691894568804</v>
      </c>
      <c r="J59" s="90">
        <f t="shared" si="6"/>
        <v>83105.944677042833</v>
      </c>
    </row>
    <row r="60" spans="2:10" x14ac:dyDescent="0.25">
      <c r="B60" s="78">
        <f t="shared" si="9"/>
        <v>40</v>
      </c>
      <c r="C60" s="383">
        <f t="shared" si="7"/>
        <v>45597</v>
      </c>
      <c r="D60" s="90">
        <f t="shared" si="8"/>
        <v>83105.944677042833</v>
      </c>
      <c r="E60" s="90">
        <f t="shared" si="1"/>
        <v>739.68792560927022</v>
      </c>
      <c r="F60" s="90">
        <f t="shared" si="2"/>
        <v>0</v>
      </c>
      <c r="G60" s="90">
        <f t="shared" si="3"/>
        <v>739.68792560927022</v>
      </c>
      <c r="H60" s="90">
        <f t="shared" si="4"/>
        <v>462.66811001912743</v>
      </c>
      <c r="I60" s="90">
        <f t="shared" si="5"/>
        <v>277.0198155901428</v>
      </c>
      <c r="J60" s="90">
        <f t="shared" si="6"/>
        <v>82643.276567023699</v>
      </c>
    </row>
    <row r="61" spans="2:10" x14ac:dyDescent="0.25">
      <c r="B61" s="78">
        <f t="shared" si="9"/>
        <v>41</v>
      </c>
      <c r="C61" s="383">
        <f t="shared" si="7"/>
        <v>45627</v>
      </c>
      <c r="D61" s="90">
        <f t="shared" si="8"/>
        <v>82643.276567023699</v>
      </c>
      <c r="E61" s="90">
        <f t="shared" si="1"/>
        <v>739.68792560927022</v>
      </c>
      <c r="F61" s="90">
        <f t="shared" si="2"/>
        <v>0</v>
      </c>
      <c r="G61" s="90">
        <f t="shared" si="3"/>
        <v>739.68792560927022</v>
      </c>
      <c r="H61" s="90">
        <f t="shared" si="4"/>
        <v>464.21033705252455</v>
      </c>
      <c r="I61" s="90">
        <f t="shared" si="5"/>
        <v>275.47758855674567</v>
      </c>
      <c r="J61" s="90">
        <f t="shared" si="6"/>
        <v>82179.066229971169</v>
      </c>
    </row>
    <row r="62" spans="2:10" x14ac:dyDescent="0.25">
      <c r="B62" s="78">
        <f t="shared" si="9"/>
        <v>42</v>
      </c>
      <c r="C62" s="383">
        <f t="shared" si="7"/>
        <v>45658</v>
      </c>
      <c r="D62" s="90">
        <f t="shared" si="8"/>
        <v>82179.066229971169</v>
      </c>
      <c r="E62" s="90">
        <f t="shared" si="1"/>
        <v>739.68792560927022</v>
      </c>
      <c r="F62" s="90">
        <f t="shared" si="2"/>
        <v>0</v>
      </c>
      <c r="G62" s="90">
        <f t="shared" si="3"/>
        <v>739.68792560927022</v>
      </c>
      <c r="H62" s="90">
        <f t="shared" si="4"/>
        <v>465.75770484269964</v>
      </c>
      <c r="I62" s="90">
        <f t="shared" si="5"/>
        <v>273.93022076657059</v>
      </c>
      <c r="J62" s="90">
        <f t="shared" si="6"/>
        <v>81713.308525128465</v>
      </c>
    </row>
    <row r="63" spans="2:10" x14ac:dyDescent="0.25">
      <c r="B63" s="78">
        <f t="shared" si="9"/>
        <v>43</v>
      </c>
      <c r="C63" s="383">
        <f t="shared" si="7"/>
        <v>45689</v>
      </c>
      <c r="D63" s="90">
        <f t="shared" si="8"/>
        <v>81713.308525128465</v>
      </c>
      <c r="E63" s="90">
        <f t="shared" si="1"/>
        <v>739.68792560927022</v>
      </c>
      <c r="F63" s="90">
        <f t="shared" si="2"/>
        <v>0</v>
      </c>
      <c r="G63" s="90">
        <f t="shared" si="3"/>
        <v>739.68792560927022</v>
      </c>
      <c r="H63" s="90">
        <f t="shared" si="4"/>
        <v>467.31023052550864</v>
      </c>
      <c r="I63" s="90">
        <f t="shared" si="5"/>
        <v>272.37769508376158</v>
      </c>
      <c r="J63" s="90">
        <f t="shared" si="6"/>
        <v>81245.998294602963</v>
      </c>
    </row>
    <row r="64" spans="2:10" x14ac:dyDescent="0.25">
      <c r="B64" s="78">
        <f t="shared" si="9"/>
        <v>44</v>
      </c>
      <c r="C64" s="383">
        <f t="shared" si="7"/>
        <v>45717</v>
      </c>
      <c r="D64" s="90">
        <f t="shared" si="8"/>
        <v>81245.998294602963</v>
      </c>
      <c r="E64" s="90">
        <f t="shared" si="1"/>
        <v>739.68792560927022</v>
      </c>
      <c r="F64" s="90">
        <f t="shared" si="2"/>
        <v>0</v>
      </c>
      <c r="G64" s="90">
        <f t="shared" si="3"/>
        <v>739.68792560927022</v>
      </c>
      <c r="H64" s="90">
        <f t="shared" si="4"/>
        <v>468.86793129392703</v>
      </c>
      <c r="I64" s="90">
        <f t="shared" si="5"/>
        <v>270.81999431534319</v>
      </c>
      <c r="J64" s="90">
        <f t="shared" si="6"/>
        <v>80777.130363309043</v>
      </c>
    </row>
    <row r="65" spans="2:10" x14ac:dyDescent="0.25">
      <c r="B65" s="78">
        <f t="shared" si="9"/>
        <v>45</v>
      </c>
      <c r="C65" s="383">
        <f t="shared" si="7"/>
        <v>45748</v>
      </c>
      <c r="D65" s="90">
        <f t="shared" si="8"/>
        <v>80777.130363309043</v>
      </c>
      <c r="E65" s="90">
        <f t="shared" si="1"/>
        <v>739.68792560927022</v>
      </c>
      <c r="F65" s="90">
        <f t="shared" si="2"/>
        <v>0</v>
      </c>
      <c r="G65" s="90">
        <f t="shared" si="3"/>
        <v>739.68792560927022</v>
      </c>
      <c r="H65" s="90">
        <f t="shared" si="4"/>
        <v>470.43082439824008</v>
      </c>
      <c r="I65" s="90">
        <f t="shared" si="5"/>
        <v>269.25710121103015</v>
      </c>
      <c r="J65" s="90">
        <f t="shared" si="6"/>
        <v>80306.699538910805</v>
      </c>
    </row>
    <row r="66" spans="2:10" x14ac:dyDescent="0.25">
      <c r="B66" s="78">
        <f t="shared" si="9"/>
        <v>46</v>
      </c>
      <c r="C66" s="383">
        <f t="shared" si="7"/>
        <v>45778</v>
      </c>
      <c r="D66" s="90">
        <f t="shared" si="8"/>
        <v>80306.699538910805</v>
      </c>
      <c r="E66" s="90">
        <f t="shared" si="1"/>
        <v>739.68792560927022</v>
      </c>
      <c r="F66" s="90">
        <f t="shared" si="2"/>
        <v>0</v>
      </c>
      <c r="G66" s="90">
        <f t="shared" si="3"/>
        <v>739.68792560927022</v>
      </c>
      <c r="H66" s="90">
        <f t="shared" si="4"/>
        <v>471.99892714623417</v>
      </c>
      <c r="I66" s="90">
        <f t="shared" si="5"/>
        <v>267.68899846303606</v>
      </c>
      <c r="J66" s="90">
        <f t="shared" si="6"/>
        <v>79834.700611764565</v>
      </c>
    </row>
    <row r="67" spans="2:10" x14ac:dyDescent="0.25">
      <c r="B67" s="78">
        <f t="shared" si="9"/>
        <v>47</v>
      </c>
      <c r="C67" s="383">
        <f t="shared" si="7"/>
        <v>45809</v>
      </c>
      <c r="D67" s="90">
        <f t="shared" si="8"/>
        <v>79834.700611764565</v>
      </c>
      <c r="E67" s="90">
        <f t="shared" si="1"/>
        <v>739.68792560927022</v>
      </c>
      <c r="F67" s="90">
        <f t="shared" si="2"/>
        <v>0</v>
      </c>
      <c r="G67" s="90">
        <f t="shared" si="3"/>
        <v>739.68792560927022</v>
      </c>
      <c r="H67" s="90">
        <f t="shared" si="4"/>
        <v>473.57225690338834</v>
      </c>
      <c r="I67" s="90">
        <f t="shared" si="5"/>
        <v>266.11566870588189</v>
      </c>
      <c r="J67" s="90">
        <f t="shared" si="6"/>
        <v>79361.128354861183</v>
      </c>
    </row>
    <row r="68" spans="2:10" x14ac:dyDescent="0.25">
      <c r="B68" s="78">
        <f t="shared" si="9"/>
        <v>48</v>
      </c>
      <c r="C68" s="383">
        <f t="shared" si="7"/>
        <v>45839</v>
      </c>
      <c r="D68" s="90">
        <f t="shared" si="8"/>
        <v>79361.128354861183</v>
      </c>
      <c r="E68" s="90">
        <f t="shared" si="1"/>
        <v>739.68792560927022</v>
      </c>
      <c r="F68" s="90">
        <f t="shared" si="2"/>
        <v>0</v>
      </c>
      <c r="G68" s="90">
        <f t="shared" si="3"/>
        <v>739.68792560927022</v>
      </c>
      <c r="H68" s="90">
        <f t="shared" si="4"/>
        <v>475.1508310930663</v>
      </c>
      <c r="I68" s="90">
        <f t="shared" si="5"/>
        <v>264.53709451620392</v>
      </c>
      <c r="J68" s="90">
        <f t="shared" si="6"/>
        <v>78885.977523768117</v>
      </c>
    </row>
    <row r="69" spans="2:10" x14ac:dyDescent="0.25">
      <c r="B69" s="78">
        <f t="shared" si="9"/>
        <v>49</v>
      </c>
      <c r="C69" s="383">
        <f t="shared" si="7"/>
        <v>45870</v>
      </c>
      <c r="D69" s="90">
        <f t="shared" si="8"/>
        <v>78885.977523768117</v>
      </c>
      <c r="E69" s="90">
        <f t="shared" si="1"/>
        <v>739.68792560927022</v>
      </c>
      <c r="F69" s="90">
        <f t="shared" si="2"/>
        <v>0</v>
      </c>
      <c r="G69" s="90">
        <f t="shared" si="3"/>
        <v>739.68792560927022</v>
      </c>
      <c r="H69" s="90">
        <f t="shared" si="4"/>
        <v>476.73466719670984</v>
      </c>
      <c r="I69" s="90">
        <f t="shared" si="5"/>
        <v>262.95325841256039</v>
      </c>
      <c r="J69" s="90">
        <f t="shared" si="6"/>
        <v>78409.242856571407</v>
      </c>
    </row>
    <row r="70" spans="2:10" x14ac:dyDescent="0.25">
      <c r="B70" s="78">
        <f t="shared" si="9"/>
        <v>50</v>
      </c>
      <c r="C70" s="383">
        <f t="shared" si="7"/>
        <v>45901</v>
      </c>
      <c r="D70" s="90">
        <f t="shared" si="8"/>
        <v>78409.242856571407</v>
      </c>
      <c r="E70" s="90">
        <f t="shared" si="1"/>
        <v>739.68792560927022</v>
      </c>
      <c r="F70" s="90">
        <f t="shared" si="2"/>
        <v>0</v>
      </c>
      <c r="G70" s="90">
        <f t="shared" si="3"/>
        <v>739.68792560927022</v>
      </c>
      <c r="H70" s="90">
        <f t="shared" si="4"/>
        <v>478.32378275403221</v>
      </c>
      <c r="I70" s="90">
        <f t="shared" si="5"/>
        <v>261.36414285523801</v>
      </c>
      <c r="J70" s="90">
        <f t="shared" si="6"/>
        <v>77930.919073817378</v>
      </c>
    </row>
    <row r="71" spans="2:10" x14ac:dyDescent="0.25">
      <c r="B71" s="78">
        <f t="shared" si="9"/>
        <v>51</v>
      </c>
      <c r="C71" s="383">
        <f t="shared" si="7"/>
        <v>45931</v>
      </c>
      <c r="D71" s="90">
        <f t="shared" si="8"/>
        <v>77930.919073817378</v>
      </c>
      <c r="E71" s="90">
        <f t="shared" si="1"/>
        <v>739.68792560927022</v>
      </c>
      <c r="F71" s="90">
        <f t="shared" si="2"/>
        <v>0</v>
      </c>
      <c r="G71" s="90">
        <f t="shared" si="3"/>
        <v>739.68792560927022</v>
      </c>
      <c r="H71" s="90">
        <f t="shared" si="4"/>
        <v>479.91819536321231</v>
      </c>
      <c r="I71" s="90">
        <f t="shared" si="5"/>
        <v>259.76973024605792</v>
      </c>
      <c r="J71" s="90">
        <f t="shared" si="6"/>
        <v>77451.000878454171</v>
      </c>
    </row>
    <row r="72" spans="2:10" x14ac:dyDescent="0.25">
      <c r="B72" s="78">
        <f t="shared" si="9"/>
        <v>52</v>
      </c>
      <c r="C72" s="383">
        <f t="shared" si="7"/>
        <v>45962</v>
      </c>
      <c r="D72" s="90">
        <f t="shared" si="8"/>
        <v>77451.000878454171</v>
      </c>
      <c r="E72" s="90">
        <f t="shared" si="1"/>
        <v>739.68792560927022</v>
      </c>
      <c r="F72" s="90">
        <f t="shared" si="2"/>
        <v>0</v>
      </c>
      <c r="G72" s="90">
        <f t="shared" si="3"/>
        <v>739.68792560927022</v>
      </c>
      <c r="H72" s="90">
        <f t="shared" si="4"/>
        <v>481.51792268108966</v>
      </c>
      <c r="I72" s="90">
        <f t="shared" si="5"/>
        <v>258.17000292818057</v>
      </c>
      <c r="J72" s="90">
        <f t="shared" si="6"/>
        <v>76969.482955773085</v>
      </c>
    </row>
    <row r="73" spans="2:10" x14ac:dyDescent="0.25">
      <c r="B73" s="78">
        <f t="shared" si="9"/>
        <v>53</v>
      </c>
      <c r="C73" s="383">
        <f t="shared" si="7"/>
        <v>45992</v>
      </c>
      <c r="D73" s="90">
        <f t="shared" si="8"/>
        <v>76969.482955773085</v>
      </c>
      <c r="E73" s="90">
        <f t="shared" si="1"/>
        <v>739.68792560927022</v>
      </c>
      <c r="F73" s="90">
        <f t="shared" si="2"/>
        <v>0</v>
      </c>
      <c r="G73" s="90">
        <f t="shared" si="3"/>
        <v>739.68792560927022</v>
      </c>
      <c r="H73" s="90">
        <f t="shared" si="4"/>
        <v>483.12298242335993</v>
      </c>
      <c r="I73" s="90">
        <f t="shared" si="5"/>
        <v>256.56494318591029</v>
      </c>
      <c r="J73" s="90">
        <f t="shared" si="6"/>
        <v>76486.359973349725</v>
      </c>
    </row>
    <row r="74" spans="2:10" x14ac:dyDescent="0.25">
      <c r="B74" s="78">
        <f t="shared" si="9"/>
        <v>54</v>
      </c>
      <c r="C74" s="383">
        <f t="shared" si="7"/>
        <v>46023</v>
      </c>
      <c r="D74" s="90">
        <f t="shared" si="8"/>
        <v>76486.359973349725</v>
      </c>
      <c r="E74" s="90">
        <f t="shared" si="1"/>
        <v>739.68792560927022</v>
      </c>
      <c r="F74" s="90">
        <f t="shared" si="2"/>
        <v>0</v>
      </c>
      <c r="G74" s="90">
        <f t="shared" si="3"/>
        <v>739.68792560927022</v>
      </c>
      <c r="H74" s="90">
        <f t="shared" si="4"/>
        <v>484.73339236477113</v>
      </c>
      <c r="I74" s="90">
        <f t="shared" si="5"/>
        <v>254.95453324449909</v>
      </c>
      <c r="J74" s="90">
        <f t="shared" si="6"/>
        <v>76001.626580984957</v>
      </c>
    </row>
    <row r="75" spans="2:10" x14ac:dyDescent="0.25">
      <c r="B75" s="78">
        <f t="shared" si="9"/>
        <v>55</v>
      </c>
      <c r="C75" s="383">
        <f t="shared" si="7"/>
        <v>46054</v>
      </c>
      <c r="D75" s="90">
        <f t="shared" si="8"/>
        <v>76001.626580984957</v>
      </c>
      <c r="E75" s="90">
        <f t="shared" si="1"/>
        <v>739.68792560927022</v>
      </c>
      <c r="F75" s="90">
        <f t="shared" si="2"/>
        <v>0</v>
      </c>
      <c r="G75" s="90">
        <f t="shared" si="3"/>
        <v>739.68792560927022</v>
      </c>
      <c r="H75" s="90">
        <f t="shared" si="4"/>
        <v>486.34917033932038</v>
      </c>
      <c r="I75" s="90">
        <f t="shared" si="5"/>
        <v>253.33875526994987</v>
      </c>
      <c r="J75" s="90">
        <f t="shared" si="6"/>
        <v>75515.277410645635</v>
      </c>
    </row>
    <row r="76" spans="2:10" x14ac:dyDescent="0.25">
      <c r="B76" s="78">
        <f t="shared" si="9"/>
        <v>56</v>
      </c>
      <c r="C76" s="383">
        <f t="shared" si="7"/>
        <v>46082</v>
      </c>
      <c r="D76" s="90">
        <f t="shared" si="8"/>
        <v>75515.277410645635</v>
      </c>
      <c r="E76" s="90">
        <f t="shared" si="1"/>
        <v>739.68792560927022</v>
      </c>
      <c r="F76" s="90">
        <f t="shared" si="2"/>
        <v>0</v>
      </c>
      <c r="G76" s="90">
        <f t="shared" si="3"/>
        <v>739.68792560927022</v>
      </c>
      <c r="H76" s="90">
        <f t="shared" si="4"/>
        <v>487.97033424045139</v>
      </c>
      <c r="I76" s="90">
        <f t="shared" si="5"/>
        <v>251.7175913688188</v>
      </c>
      <c r="J76" s="90">
        <f t="shared" si="6"/>
        <v>75027.307076405181</v>
      </c>
    </row>
    <row r="77" spans="2:10" x14ac:dyDescent="0.25">
      <c r="B77" s="78">
        <f t="shared" si="9"/>
        <v>57</v>
      </c>
      <c r="C77" s="383">
        <f t="shared" si="7"/>
        <v>46113</v>
      </c>
      <c r="D77" s="90">
        <f t="shared" si="8"/>
        <v>75027.307076405181</v>
      </c>
      <c r="E77" s="90">
        <f t="shared" si="1"/>
        <v>739.68792560927022</v>
      </c>
      <c r="F77" s="90">
        <f t="shared" si="2"/>
        <v>0</v>
      </c>
      <c r="G77" s="90">
        <f t="shared" si="3"/>
        <v>739.68792560927022</v>
      </c>
      <c r="H77" s="90">
        <f t="shared" si="4"/>
        <v>489.59690202125296</v>
      </c>
      <c r="I77" s="90">
        <f t="shared" si="5"/>
        <v>250.09102358801726</v>
      </c>
      <c r="J77" s="90">
        <f t="shared" si="6"/>
        <v>74537.71017438393</v>
      </c>
    </row>
    <row r="78" spans="2:10" x14ac:dyDescent="0.25">
      <c r="B78" s="78">
        <f t="shared" si="9"/>
        <v>58</v>
      </c>
      <c r="C78" s="383">
        <f t="shared" si="7"/>
        <v>46143</v>
      </c>
      <c r="D78" s="90">
        <f t="shared" si="8"/>
        <v>74537.71017438393</v>
      </c>
      <c r="E78" s="90">
        <f t="shared" si="1"/>
        <v>739.68792560927022</v>
      </c>
      <c r="F78" s="90">
        <f t="shared" si="2"/>
        <v>0</v>
      </c>
      <c r="G78" s="90">
        <f t="shared" si="3"/>
        <v>739.68792560927022</v>
      </c>
      <c r="H78" s="90">
        <f t="shared" si="4"/>
        <v>491.22889169465714</v>
      </c>
      <c r="I78" s="90">
        <f t="shared" si="5"/>
        <v>248.45903391461309</v>
      </c>
      <c r="J78" s="90">
        <f t="shared" si="6"/>
        <v>74046.481282689274</v>
      </c>
    </row>
    <row r="79" spans="2:10" x14ac:dyDescent="0.25">
      <c r="B79" s="78">
        <f t="shared" si="9"/>
        <v>59</v>
      </c>
      <c r="C79" s="383">
        <f t="shared" si="7"/>
        <v>46174</v>
      </c>
      <c r="D79" s="90">
        <f t="shared" si="8"/>
        <v>74046.481282689274</v>
      </c>
      <c r="E79" s="90">
        <f t="shared" si="1"/>
        <v>739.68792560927022</v>
      </c>
      <c r="F79" s="90">
        <f t="shared" si="2"/>
        <v>0</v>
      </c>
      <c r="G79" s="90">
        <f t="shared" si="3"/>
        <v>739.68792560927022</v>
      </c>
      <c r="H79" s="90">
        <f t="shared" si="4"/>
        <v>492.86632133363935</v>
      </c>
      <c r="I79" s="90">
        <f t="shared" si="5"/>
        <v>246.8216042756309</v>
      </c>
      <c r="J79" s="90">
        <f t="shared" si="6"/>
        <v>73553.614961355634</v>
      </c>
    </row>
    <row r="80" spans="2:10" x14ac:dyDescent="0.25">
      <c r="B80" s="78">
        <f t="shared" si="9"/>
        <v>60</v>
      </c>
      <c r="C80" s="383">
        <f t="shared" si="7"/>
        <v>46204</v>
      </c>
      <c r="D80" s="90">
        <f t="shared" si="8"/>
        <v>73553.614961355634</v>
      </c>
      <c r="E80" s="90">
        <f t="shared" si="1"/>
        <v>739.68792560927022</v>
      </c>
      <c r="F80" s="90">
        <f t="shared" si="2"/>
        <v>0</v>
      </c>
      <c r="G80" s="90">
        <f t="shared" si="3"/>
        <v>739.68792560927022</v>
      </c>
      <c r="H80" s="90">
        <f t="shared" si="4"/>
        <v>494.50920907141813</v>
      </c>
      <c r="I80" s="90">
        <f t="shared" si="5"/>
        <v>245.17871653785213</v>
      </c>
      <c r="J80" s="90">
        <f t="shared" si="6"/>
        <v>73059.105752284217</v>
      </c>
    </row>
    <row r="81" spans="2:10" x14ac:dyDescent="0.25">
      <c r="B81" s="78">
        <f t="shared" si="9"/>
        <v>61</v>
      </c>
      <c r="C81" s="383">
        <f t="shared" si="7"/>
        <v>46235</v>
      </c>
      <c r="D81" s="90">
        <f t="shared" si="8"/>
        <v>73059.105752284217</v>
      </c>
      <c r="E81" s="90">
        <f t="shared" si="1"/>
        <v>739.68792560927022</v>
      </c>
      <c r="F81" s="90">
        <f t="shared" si="2"/>
        <v>0</v>
      </c>
      <c r="G81" s="90">
        <f t="shared" si="3"/>
        <v>739.68792560927022</v>
      </c>
      <c r="H81" s="90">
        <f t="shared" si="4"/>
        <v>496.15757310165611</v>
      </c>
      <c r="I81" s="90">
        <f t="shared" si="5"/>
        <v>243.53035250761408</v>
      </c>
      <c r="J81" s="90">
        <f t="shared" si="6"/>
        <v>72562.948179182567</v>
      </c>
    </row>
    <row r="82" spans="2:10" x14ac:dyDescent="0.25">
      <c r="B82" s="78">
        <f t="shared" si="9"/>
        <v>62</v>
      </c>
      <c r="C82" s="383">
        <f t="shared" si="7"/>
        <v>46266</v>
      </c>
      <c r="D82" s="90">
        <f t="shared" si="8"/>
        <v>72562.948179182567</v>
      </c>
      <c r="E82" s="90">
        <f t="shared" si="1"/>
        <v>739.68792560927022</v>
      </c>
      <c r="F82" s="90">
        <f t="shared" si="2"/>
        <v>0</v>
      </c>
      <c r="G82" s="90">
        <f t="shared" si="3"/>
        <v>739.68792560927022</v>
      </c>
      <c r="H82" s="90">
        <f t="shared" si="4"/>
        <v>497.81143167866162</v>
      </c>
      <c r="I82" s="90">
        <f t="shared" si="5"/>
        <v>241.87649393060858</v>
      </c>
      <c r="J82" s="90">
        <f t="shared" si="6"/>
        <v>72065.136747503901</v>
      </c>
    </row>
    <row r="83" spans="2:10" x14ac:dyDescent="0.25">
      <c r="B83" s="78">
        <f t="shared" si="9"/>
        <v>63</v>
      </c>
      <c r="C83" s="383">
        <f t="shared" si="7"/>
        <v>46296</v>
      </c>
      <c r="D83" s="90">
        <f t="shared" si="8"/>
        <v>72065.136747503901</v>
      </c>
      <c r="E83" s="90">
        <f t="shared" si="1"/>
        <v>739.68792560927022</v>
      </c>
      <c r="F83" s="90">
        <f t="shared" si="2"/>
        <v>0</v>
      </c>
      <c r="G83" s="90">
        <f t="shared" si="3"/>
        <v>739.68792560927022</v>
      </c>
      <c r="H83" s="90">
        <f t="shared" si="4"/>
        <v>499.47080311759055</v>
      </c>
      <c r="I83" s="90">
        <f t="shared" si="5"/>
        <v>240.21712249167967</v>
      </c>
      <c r="J83" s="90">
        <f t="shared" si="6"/>
        <v>71565.665944386303</v>
      </c>
    </row>
    <row r="84" spans="2:10" x14ac:dyDescent="0.25">
      <c r="B84" s="78">
        <f t="shared" si="9"/>
        <v>64</v>
      </c>
      <c r="C84" s="383">
        <f t="shared" si="7"/>
        <v>46327</v>
      </c>
      <c r="D84" s="90">
        <f t="shared" si="8"/>
        <v>71565.665944386303</v>
      </c>
      <c r="E84" s="90">
        <f t="shared" si="1"/>
        <v>739.68792560927022</v>
      </c>
      <c r="F84" s="90">
        <f t="shared" si="2"/>
        <v>0</v>
      </c>
      <c r="G84" s="90">
        <f t="shared" si="3"/>
        <v>739.68792560927022</v>
      </c>
      <c r="H84" s="90">
        <f t="shared" si="4"/>
        <v>501.1357057946492</v>
      </c>
      <c r="I84" s="90">
        <f t="shared" si="5"/>
        <v>238.55221981462103</v>
      </c>
      <c r="J84" s="90">
        <f t="shared" si="6"/>
        <v>71064.530238591658</v>
      </c>
    </row>
    <row r="85" spans="2:10" x14ac:dyDescent="0.25">
      <c r="B85" s="78">
        <f t="shared" si="9"/>
        <v>65</v>
      </c>
      <c r="C85" s="383">
        <f t="shared" si="7"/>
        <v>46357</v>
      </c>
      <c r="D85" s="90">
        <f t="shared" si="8"/>
        <v>71064.530238591658</v>
      </c>
      <c r="E85" s="90">
        <f t="shared" si="1"/>
        <v>739.68792560927022</v>
      </c>
      <c r="F85" s="90">
        <f t="shared" si="2"/>
        <v>0</v>
      </c>
      <c r="G85" s="90">
        <f t="shared" si="3"/>
        <v>739.68792560927022</v>
      </c>
      <c r="H85" s="90">
        <f t="shared" si="4"/>
        <v>502.80615814729799</v>
      </c>
      <c r="I85" s="90">
        <f t="shared" si="5"/>
        <v>236.8817674619722</v>
      </c>
      <c r="J85" s="90">
        <f t="shared" si="6"/>
        <v>70561.724080444357</v>
      </c>
    </row>
    <row r="86" spans="2:10" x14ac:dyDescent="0.25">
      <c r="B86" s="78">
        <f t="shared" si="9"/>
        <v>66</v>
      </c>
      <c r="C86" s="383">
        <f t="shared" si="7"/>
        <v>46388</v>
      </c>
      <c r="D86" s="90">
        <f t="shared" si="8"/>
        <v>70561.724080444357</v>
      </c>
      <c r="E86" s="90">
        <f t="shared" si="1"/>
        <v>739.68792560927022</v>
      </c>
      <c r="F86" s="90">
        <f t="shared" si="2"/>
        <v>0</v>
      </c>
      <c r="G86" s="90">
        <f t="shared" si="3"/>
        <v>739.68792560927022</v>
      </c>
      <c r="H86" s="90">
        <f t="shared" si="4"/>
        <v>504.48217867445567</v>
      </c>
      <c r="I86" s="90">
        <f t="shared" si="5"/>
        <v>235.20574693481453</v>
      </c>
      <c r="J86" s="90">
        <f t="shared" si="6"/>
        <v>70057.241901769899</v>
      </c>
    </row>
    <row r="87" spans="2:10" x14ac:dyDescent="0.25">
      <c r="B87" s="78">
        <f t="shared" ref="B87:B150" si="10">IF(OR(ISERROR(IF(B86+1&lt;=$E$13,B86+1,"")),J86&lt;=0),"",IF(B86+1&lt;=$E$13,B86+1,""))</f>
        <v>67</v>
      </c>
      <c r="C87" s="383">
        <f t="shared" si="7"/>
        <v>46419</v>
      </c>
      <c r="D87" s="90">
        <f t="shared" si="8"/>
        <v>70057.241901769899</v>
      </c>
      <c r="E87" s="90">
        <f t="shared" ref="E87:E150" si="11">IF(B87&lt;&gt;"",$E$12,"")</f>
        <v>739.68792560927022</v>
      </c>
      <c r="F87" s="90">
        <f t="shared" ref="F87:F150" si="12">IF(B87&lt;&gt;"",$E$9,"")</f>
        <v>0</v>
      </c>
      <c r="G87" s="90">
        <f t="shared" ref="G87:G150" si="13">IF(B87&lt;&gt;"",E87+F87,"")</f>
        <v>739.68792560927022</v>
      </c>
      <c r="H87" s="90">
        <f t="shared" ref="H87:H150" si="14">IF(B87&lt;&gt;"",E87+F87-I87,"")</f>
        <v>506.1637859367039</v>
      </c>
      <c r="I87" s="90">
        <f t="shared" ref="I87:I150" si="15">IF(B87&lt;&gt;"",D87*$E$6/12,"")</f>
        <v>233.52413967256632</v>
      </c>
      <c r="J87" s="90">
        <f t="shared" ref="J87:J150" si="16">IF(B87&lt;&gt;"",D87-H87,"")</f>
        <v>69551.078115833196</v>
      </c>
    </row>
    <row r="88" spans="2:10" x14ac:dyDescent="0.25">
      <c r="B88" s="78">
        <f t="shared" si="10"/>
        <v>68</v>
      </c>
      <c r="C88" s="383">
        <f t="shared" ref="C88:C151" si="17">IF(B88&lt;&gt;"",DATE(YEAR(C87),MONTH(C87)+1,DAY(C87)),"")</f>
        <v>46447</v>
      </c>
      <c r="D88" s="90">
        <f t="shared" ref="D88:D151" si="18">IF(B88&lt;&gt;"",J87,"")</f>
        <v>69551.078115833196</v>
      </c>
      <c r="E88" s="90">
        <f t="shared" si="11"/>
        <v>739.68792560927022</v>
      </c>
      <c r="F88" s="90">
        <f t="shared" si="12"/>
        <v>0</v>
      </c>
      <c r="G88" s="90">
        <f t="shared" si="13"/>
        <v>739.68792560927022</v>
      </c>
      <c r="H88" s="90">
        <f t="shared" si="14"/>
        <v>507.85099855649287</v>
      </c>
      <c r="I88" s="90">
        <f t="shared" si="15"/>
        <v>231.83692705277733</v>
      </c>
      <c r="J88" s="90">
        <f t="shared" si="16"/>
        <v>69043.227117276707</v>
      </c>
    </row>
    <row r="89" spans="2:10" x14ac:dyDescent="0.25">
      <c r="B89" s="78">
        <f t="shared" si="10"/>
        <v>69</v>
      </c>
      <c r="C89" s="383">
        <f t="shared" si="17"/>
        <v>46478</v>
      </c>
      <c r="D89" s="90">
        <f t="shared" si="18"/>
        <v>69043.227117276707</v>
      </c>
      <c r="E89" s="90">
        <f t="shared" si="11"/>
        <v>739.68792560927022</v>
      </c>
      <c r="F89" s="90">
        <f t="shared" si="12"/>
        <v>0</v>
      </c>
      <c r="G89" s="90">
        <f t="shared" si="13"/>
        <v>739.68792560927022</v>
      </c>
      <c r="H89" s="90">
        <f t="shared" si="14"/>
        <v>509.54383521834791</v>
      </c>
      <c r="I89" s="90">
        <f t="shared" si="15"/>
        <v>230.14409039092234</v>
      </c>
      <c r="J89" s="90">
        <f t="shared" si="16"/>
        <v>68533.683282058366</v>
      </c>
    </row>
    <row r="90" spans="2:10" x14ac:dyDescent="0.25">
      <c r="B90" s="78">
        <f t="shared" si="10"/>
        <v>70</v>
      </c>
      <c r="C90" s="383">
        <f t="shared" si="17"/>
        <v>46508</v>
      </c>
      <c r="D90" s="90">
        <f t="shared" si="18"/>
        <v>68533.683282058366</v>
      </c>
      <c r="E90" s="90">
        <f t="shared" si="11"/>
        <v>739.68792560927022</v>
      </c>
      <c r="F90" s="90">
        <f t="shared" si="12"/>
        <v>0</v>
      </c>
      <c r="G90" s="90">
        <f t="shared" si="13"/>
        <v>739.68792560927022</v>
      </c>
      <c r="H90" s="90">
        <f t="shared" si="14"/>
        <v>511.24231466907565</v>
      </c>
      <c r="I90" s="90">
        <f t="shared" si="15"/>
        <v>228.44561094019457</v>
      </c>
      <c r="J90" s="90">
        <f t="shared" si="16"/>
        <v>68022.440967389295</v>
      </c>
    </row>
    <row r="91" spans="2:10" x14ac:dyDescent="0.25">
      <c r="B91" s="78">
        <f t="shared" si="10"/>
        <v>71</v>
      </c>
      <c r="C91" s="383">
        <f t="shared" si="17"/>
        <v>46539</v>
      </c>
      <c r="D91" s="90">
        <f t="shared" si="18"/>
        <v>68022.440967389295</v>
      </c>
      <c r="E91" s="90">
        <f t="shared" si="11"/>
        <v>739.68792560927022</v>
      </c>
      <c r="F91" s="90">
        <f t="shared" si="12"/>
        <v>0</v>
      </c>
      <c r="G91" s="90">
        <f t="shared" si="13"/>
        <v>739.68792560927022</v>
      </c>
      <c r="H91" s="90">
        <f t="shared" si="14"/>
        <v>512.94645571797253</v>
      </c>
      <c r="I91" s="90">
        <f t="shared" si="15"/>
        <v>226.74146989129767</v>
      </c>
      <c r="J91" s="90">
        <f t="shared" si="16"/>
        <v>67509.494511671321</v>
      </c>
    </row>
    <row r="92" spans="2:10" x14ac:dyDescent="0.25">
      <c r="B92" s="78">
        <f t="shared" si="10"/>
        <v>72</v>
      </c>
      <c r="C92" s="383">
        <f t="shared" si="17"/>
        <v>46569</v>
      </c>
      <c r="D92" s="90">
        <f t="shared" si="18"/>
        <v>67509.494511671321</v>
      </c>
      <c r="E92" s="90">
        <f t="shared" si="11"/>
        <v>739.68792560927022</v>
      </c>
      <c r="F92" s="90">
        <f t="shared" si="12"/>
        <v>0</v>
      </c>
      <c r="G92" s="90">
        <f t="shared" si="13"/>
        <v>739.68792560927022</v>
      </c>
      <c r="H92" s="90">
        <f t="shared" si="14"/>
        <v>514.65627723703244</v>
      </c>
      <c r="I92" s="90">
        <f t="shared" si="15"/>
        <v>225.03164837223775</v>
      </c>
      <c r="J92" s="90">
        <f t="shared" si="16"/>
        <v>66994.838234434283</v>
      </c>
    </row>
    <row r="93" spans="2:10" x14ac:dyDescent="0.25">
      <c r="B93" s="78">
        <f t="shared" si="10"/>
        <v>73</v>
      </c>
      <c r="C93" s="383">
        <f t="shared" si="17"/>
        <v>46600</v>
      </c>
      <c r="D93" s="90">
        <f t="shared" si="18"/>
        <v>66994.838234434283</v>
      </c>
      <c r="E93" s="90">
        <f t="shared" si="11"/>
        <v>739.68792560927022</v>
      </c>
      <c r="F93" s="90">
        <f t="shared" si="12"/>
        <v>0</v>
      </c>
      <c r="G93" s="90">
        <f t="shared" si="13"/>
        <v>739.68792560927022</v>
      </c>
      <c r="H93" s="90">
        <f t="shared" si="14"/>
        <v>516.37179816115599</v>
      </c>
      <c r="I93" s="90">
        <f t="shared" si="15"/>
        <v>223.31612744811426</v>
      </c>
      <c r="J93" s="90">
        <f t="shared" si="16"/>
        <v>66478.466436273127</v>
      </c>
    </row>
    <row r="94" spans="2:10" x14ac:dyDescent="0.25">
      <c r="B94" s="78">
        <f t="shared" si="10"/>
        <v>74</v>
      </c>
      <c r="C94" s="383">
        <f t="shared" si="17"/>
        <v>46631</v>
      </c>
      <c r="D94" s="90">
        <f t="shared" si="18"/>
        <v>66478.466436273127</v>
      </c>
      <c r="E94" s="90">
        <f t="shared" si="11"/>
        <v>739.68792560927022</v>
      </c>
      <c r="F94" s="90">
        <f t="shared" si="12"/>
        <v>0</v>
      </c>
      <c r="G94" s="90">
        <f t="shared" si="13"/>
        <v>739.68792560927022</v>
      </c>
      <c r="H94" s="90">
        <f t="shared" si="14"/>
        <v>518.09303748835976</v>
      </c>
      <c r="I94" s="90">
        <f t="shared" si="15"/>
        <v>221.59488812091044</v>
      </c>
      <c r="J94" s="90">
        <f t="shared" si="16"/>
        <v>65960.373398784766</v>
      </c>
    </row>
    <row r="95" spans="2:10" x14ac:dyDescent="0.25">
      <c r="B95" s="78">
        <f t="shared" si="10"/>
        <v>75</v>
      </c>
      <c r="C95" s="383">
        <f t="shared" si="17"/>
        <v>46661</v>
      </c>
      <c r="D95" s="90">
        <f t="shared" si="18"/>
        <v>65960.373398784766</v>
      </c>
      <c r="E95" s="90">
        <f t="shared" si="11"/>
        <v>739.68792560927022</v>
      </c>
      <c r="F95" s="90">
        <f t="shared" si="12"/>
        <v>0</v>
      </c>
      <c r="G95" s="90">
        <f t="shared" si="13"/>
        <v>739.68792560927022</v>
      </c>
      <c r="H95" s="90">
        <f t="shared" si="14"/>
        <v>519.82001427998762</v>
      </c>
      <c r="I95" s="90">
        <f t="shared" si="15"/>
        <v>219.86791132928258</v>
      </c>
      <c r="J95" s="90">
        <f t="shared" si="16"/>
        <v>65440.553384504776</v>
      </c>
    </row>
    <row r="96" spans="2:10" x14ac:dyDescent="0.25">
      <c r="B96" s="78">
        <f t="shared" si="10"/>
        <v>76</v>
      </c>
      <c r="C96" s="383">
        <f t="shared" si="17"/>
        <v>46692</v>
      </c>
      <c r="D96" s="90">
        <f t="shared" si="18"/>
        <v>65440.553384504776</v>
      </c>
      <c r="E96" s="90">
        <f t="shared" si="11"/>
        <v>739.68792560927022</v>
      </c>
      <c r="F96" s="90">
        <f t="shared" si="12"/>
        <v>0</v>
      </c>
      <c r="G96" s="90">
        <f t="shared" si="13"/>
        <v>739.68792560927022</v>
      </c>
      <c r="H96" s="90">
        <f t="shared" si="14"/>
        <v>521.552747660921</v>
      </c>
      <c r="I96" s="90">
        <f t="shared" si="15"/>
        <v>218.13517794834925</v>
      </c>
      <c r="J96" s="90">
        <f t="shared" si="16"/>
        <v>64919.000636843855</v>
      </c>
    </row>
    <row r="97" spans="2:10" x14ac:dyDescent="0.25">
      <c r="B97" s="78">
        <f t="shared" si="10"/>
        <v>77</v>
      </c>
      <c r="C97" s="383">
        <f t="shared" si="17"/>
        <v>46722</v>
      </c>
      <c r="D97" s="90">
        <f t="shared" si="18"/>
        <v>64919.000636843855</v>
      </c>
      <c r="E97" s="90">
        <f t="shared" si="11"/>
        <v>739.68792560927022</v>
      </c>
      <c r="F97" s="90">
        <f t="shared" si="12"/>
        <v>0</v>
      </c>
      <c r="G97" s="90">
        <f t="shared" si="13"/>
        <v>739.68792560927022</v>
      </c>
      <c r="H97" s="90">
        <f t="shared" si="14"/>
        <v>523.29125681979065</v>
      </c>
      <c r="I97" s="90">
        <f t="shared" si="15"/>
        <v>216.39666878947955</v>
      </c>
      <c r="J97" s="90">
        <f t="shared" si="16"/>
        <v>64395.709380024062</v>
      </c>
    </row>
    <row r="98" spans="2:10" x14ac:dyDescent="0.25">
      <c r="B98" s="78">
        <f t="shared" si="10"/>
        <v>78</v>
      </c>
      <c r="C98" s="383">
        <f t="shared" si="17"/>
        <v>46753</v>
      </c>
      <c r="D98" s="90">
        <f t="shared" si="18"/>
        <v>64395.709380024062</v>
      </c>
      <c r="E98" s="90">
        <f t="shared" si="11"/>
        <v>739.68792560927022</v>
      </c>
      <c r="F98" s="90">
        <f t="shared" si="12"/>
        <v>0</v>
      </c>
      <c r="G98" s="90">
        <f t="shared" si="13"/>
        <v>739.68792560927022</v>
      </c>
      <c r="H98" s="90">
        <f t="shared" si="14"/>
        <v>525.03556100919002</v>
      </c>
      <c r="I98" s="90">
        <f t="shared" si="15"/>
        <v>214.6523646000802</v>
      </c>
      <c r="J98" s="90">
        <f t="shared" si="16"/>
        <v>63870.673819014875</v>
      </c>
    </row>
    <row r="99" spans="2:10" x14ac:dyDescent="0.25">
      <c r="B99" s="78">
        <f t="shared" si="10"/>
        <v>79</v>
      </c>
      <c r="C99" s="383">
        <f t="shared" si="17"/>
        <v>46784</v>
      </c>
      <c r="D99" s="90">
        <f t="shared" si="18"/>
        <v>63870.673819014875</v>
      </c>
      <c r="E99" s="90">
        <f t="shared" si="11"/>
        <v>739.68792560927022</v>
      </c>
      <c r="F99" s="90">
        <f t="shared" si="12"/>
        <v>0</v>
      </c>
      <c r="G99" s="90">
        <f t="shared" si="13"/>
        <v>739.68792560927022</v>
      </c>
      <c r="H99" s="90">
        <f t="shared" si="14"/>
        <v>526.78567954588732</v>
      </c>
      <c r="I99" s="90">
        <f t="shared" si="15"/>
        <v>212.9022460633829</v>
      </c>
      <c r="J99" s="90">
        <f t="shared" si="16"/>
        <v>63343.888139468989</v>
      </c>
    </row>
    <row r="100" spans="2:10" x14ac:dyDescent="0.25">
      <c r="B100" s="78">
        <f t="shared" si="10"/>
        <v>80</v>
      </c>
      <c r="C100" s="383">
        <f t="shared" si="17"/>
        <v>46813</v>
      </c>
      <c r="D100" s="90">
        <f t="shared" si="18"/>
        <v>63343.888139468989</v>
      </c>
      <c r="E100" s="90">
        <f t="shared" si="11"/>
        <v>739.68792560927022</v>
      </c>
      <c r="F100" s="90">
        <f t="shared" si="12"/>
        <v>0</v>
      </c>
      <c r="G100" s="90">
        <f t="shared" si="13"/>
        <v>739.68792560927022</v>
      </c>
      <c r="H100" s="90">
        <f t="shared" si="14"/>
        <v>528.54163181104025</v>
      </c>
      <c r="I100" s="90">
        <f t="shared" si="15"/>
        <v>211.14629379822998</v>
      </c>
      <c r="J100" s="90">
        <f t="shared" si="16"/>
        <v>62815.346507657945</v>
      </c>
    </row>
    <row r="101" spans="2:10" x14ac:dyDescent="0.25">
      <c r="B101" s="78">
        <f t="shared" si="10"/>
        <v>81</v>
      </c>
      <c r="C101" s="383">
        <f t="shared" si="17"/>
        <v>46844</v>
      </c>
      <c r="D101" s="90">
        <f t="shared" si="18"/>
        <v>62815.346507657945</v>
      </c>
      <c r="E101" s="90">
        <f t="shared" si="11"/>
        <v>739.68792560927022</v>
      </c>
      <c r="F101" s="90">
        <f t="shared" si="12"/>
        <v>0</v>
      </c>
      <c r="G101" s="90">
        <f t="shared" si="13"/>
        <v>739.68792560927022</v>
      </c>
      <c r="H101" s="90">
        <f t="shared" si="14"/>
        <v>530.30343725041041</v>
      </c>
      <c r="I101" s="90">
        <f t="shared" si="15"/>
        <v>209.38448835885981</v>
      </c>
      <c r="J101" s="90">
        <f t="shared" si="16"/>
        <v>62285.043070407533</v>
      </c>
    </row>
    <row r="102" spans="2:10" x14ac:dyDescent="0.25">
      <c r="B102" s="78">
        <f t="shared" si="10"/>
        <v>82</v>
      </c>
      <c r="C102" s="383">
        <f t="shared" si="17"/>
        <v>46874</v>
      </c>
      <c r="D102" s="90">
        <f t="shared" si="18"/>
        <v>62285.043070407533</v>
      </c>
      <c r="E102" s="90">
        <f t="shared" si="11"/>
        <v>739.68792560927022</v>
      </c>
      <c r="F102" s="90">
        <f t="shared" si="12"/>
        <v>0</v>
      </c>
      <c r="G102" s="90">
        <f t="shared" si="13"/>
        <v>739.68792560927022</v>
      </c>
      <c r="H102" s="90">
        <f t="shared" si="14"/>
        <v>532.07111537457843</v>
      </c>
      <c r="I102" s="90">
        <f t="shared" si="15"/>
        <v>207.6168102346918</v>
      </c>
      <c r="J102" s="90">
        <f t="shared" si="16"/>
        <v>61752.971955032954</v>
      </c>
    </row>
    <row r="103" spans="2:10" x14ac:dyDescent="0.25">
      <c r="B103" s="78">
        <f t="shared" si="10"/>
        <v>83</v>
      </c>
      <c r="C103" s="383">
        <f t="shared" si="17"/>
        <v>46905</v>
      </c>
      <c r="D103" s="90">
        <f t="shared" si="18"/>
        <v>61752.971955032954</v>
      </c>
      <c r="E103" s="90">
        <f t="shared" si="11"/>
        <v>739.68792560927022</v>
      </c>
      <c r="F103" s="90">
        <f t="shared" si="12"/>
        <v>0</v>
      </c>
      <c r="G103" s="90">
        <f t="shared" si="13"/>
        <v>739.68792560927022</v>
      </c>
      <c r="H103" s="90">
        <f t="shared" si="14"/>
        <v>533.84468575916037</v>
      </c>
      <c r="I103" s="90">
        <f t="shared" si="15"/>
        <v>205.84323985010985</v>
      </c>
      <c r="J103" s="90">
        <f t="shared" si="16"/>
        <v>61219.127269273791</v>
      </c>
    </row>
    <row r="104" spans="2:10" x14ac:dyDescent="0.25">
      <c r="B104" s="78">
        <f t="shared" si="10"/>
        <v>84</v>
      </c>
      <c r="C104" s="383">
        <f t="shared" si="17"/>
        <v>46935</v>
      </c>
      <c r="D104" s="90">
        <f t="shared" si="18"/>
        <v>61219.127269273791</v>
      </c>
      <c r="E104" s="90">
        <f t="shared" si="11"/>
        <v>739.68792560927022</v>
      </c>
      <c r="F104" s="90">
        <f t="shared" si="12"/>
        <v>0</v>
      </c>
      <c r="G104" s="90">
        <f t="shared" si="13"/>
        <v>739.68792560927022</v>
      </c>
      <c r="H104" s="90">
        <f t="shared" si="14"/>
        <v>535.62416804502425</v>
      </c>
      <c r="I104" s="90">
        <f t="shared" si="15"/>
        <v>204.06375756424598</v>
      </c>
      <c r="J104" s="90">
        <f t="shared" si="16"/>
        <v>60683.503101228765</v>
      </c>
    </row>
    <row r="105" spans="2:10" x14ac:dyDescent="0.25">
      <c r="B105" s="78">
        <f t="shared" si="10"/>
        <v>85</v>
      </c>
      <c r="C105" s="383">
        <f t="shared" si="17"/>
        <v>46966</v>
      </c>
      <c r="D105" s="90">
        <f t="shared" si="18"/>
        <v>60683.503101228765</v>
      </c>
      <c r="E105" s="90">
        <f t="shared" si="11"/>
        <v>739.68792560927022</v>
      </c>
      <c r="F105" s="90">
        <f t="shared" si="12"/>
        <v>0</v>
      </c>
      <c r="G105" s="90">
        <f t="shared" si="13"/>
        <v>739.68792560927022</v>
      </c>
      <c r="H105" s="90">
        <f t="shared" si="14"/>
        <v>537.4095819385077</v>
      </c>
      <c r="I105" s="90">
        <f t="shared" si="15"/>
        <v>202.27834367076255</v>
      </c>
      <c r="J105" s="90">
        <f t="shared" si="16"/>
        <v>60146.093519290254</v>
      </c>
    </row>
    <row r="106" spans="2:10" x14ac:dyDescent="0.25">
      <c r="B106" s="78">
        <f t="shared" si="10"/>
        <v>86</v>
      </c>
      <c r="C106" s="383">
        <f t="shared" si="17"/>
        <v>46997</v>
      </c>
      <c r="D106" s="90">
        <f t="shared" si="18"/>
        <v>60146.093519290254</v>
      </c>
      <c r="E106" s="90">
        <f t="shared" si="11"/>
        <v>739.68792560927022</v>
      </c>
      <c r="F106" s="90">
        <f t="shared" si="12"/>
        <v>0</v>
      </c>
      <c r="G106" s="90">
        <f t="shared" si="13"/>
        <v>739.68792560927022</v>
      </c>
      <c r="H106" s="90">
        <f t="shared" si="14"/>
        <v>539.20094721163605</v>
      </c>
      <c r="I106" s="90">
        <f t="shared" si="15"/>
        <v>200.48697839763418</v>
      </c>
      <c r="J106" s="90">
        <f t="shared" si="16"/>
        <v>59606.892572078621</v>
      </c>
    </row>
    <row r="107" spans="2:10" x14ac:dyDescent="0.25">
      <c r="B107" s="78">
        <f t="shared" si="10"/>
        <v>87</v>
      </c>
      <c r="C107" s="383">
        <f t="shared" si="17"/>
        <v>47027</v>
      </c>
      <c r="D107" s="90">
        <f t="shared" si="18"/>
        <v>59606.892572078621</v>
      </c>
      <c r="E107" s="90">
        <f t="shared" si="11"/>
        <v>739.68792560927022</v>
      </c>
      <c r="F107" s="90">
        <f t="shared" si="12"/>
        <v>0</v>
      </c>
      <c r="G107" s="90">
        <f t="shared" si="13"/>
        <v>739.68792560927022</v>
      </c>
      <c r="H107" s="90">
        <f t="shared" si="14"/>
        <v>540.9982837023415</v>
      </c>
      <c r="I107" s="90">
        <f t="shared" si="15"/>
        <v>198.68964190692873</v>
      </c>
      <c r="J107" s="90">
        <f t="shared" si="16"/>
        <v>59065.894288376279</v>
      </c>
    </row>
    <row r="108" spans="2:10" x14ac:dyDescent="0.25">
      <c r="B108" s="78">
        <f t="shared" si="10"/>
        <v>88</v>
      </c>
      <c r="C108" s="383">
        <f t="shared" si="17"/>
        <v>47058</v>
      </c>
      <c r="D108" s="90">
        <f t="shared" si="18"/>
        <v>59065.894288376279</v>
      </c>
      <c r="E108" s="90">
        <f t="shared" si="11"/>
        <v>739.68792560927022</v>
      </c>
      <c r="F108" s="90">
        <f t="shared" si="12"/>
        <v>0</v>
      </c>
      <c r="G108" s="90">
        <f t="shared" si="13"/>
        <v>739.68792560927022</v>
      </c>
      <c r="H108" s="90">
        <f t="shared" si="14"/>
        <v>542.80161131468265</v>
      </c>
      <c r="I108" s="90">
        <f t="shared" si="15"/>
        <v>196.88631429458761</v>
      </c>
      <c r="J108" s="90">
        <f t="shared" si="16"/>
        <v>58523.092677061599</v>
      </c>
    </row>
    <row r="109" spans="2:10" x14ac:dyDescent="0.25">
      <c r="B109" s="78">
        <f t="shared" si="10"/>
        <v>89</v>
      </c>
      <c r="C109" s="383">
        <f t="shared" si="17"/>
        <v>47088</v>
      </c>
      <c r="D109" s="90">
        <f t="shared" si="18"/>
        <v>58523.092677061599</v>
      </c>
      <c r="E109" s="90">
        <f t="shared" si="11"/>
        <v>739.68792560927022</v>
      </c>
      <c r="F109" s="90">
        <f t="shared" si="12"/>
        <v>0</v>
      </c>
      <c r="G109" s="90">
        <f t="shared" si="13"/>
        <v>739.68792560927022</v>
      </c>
      <c r="H109" s="90">
        <f t="shared" si="14"/>
        <v>544.61095001906494</v>
      </c>
      <c r="I109" s="90">
        <f t="shared" si="15"/>
        <v>195.07697559020531</v>
      </c>
      <c r="J109" s="90">
        <f t="shared" si="16"/>
        <v>57978.481727042534</v>
      </c>
    </row>
    <row r="110" spans="2:10" x14ac:dyDescent="0.25">
      <c r="B110" s="78">
        <f t="shared" si="10"/>
        <v>90</v>
      </c>
      <c r="C110" s="383">
        <f t="shared" si="17"/>
        <v>47119</v>
      </c>
      <c r="D110" s="90">
        <f t="shared" si="18"/>
        <v>57978.481727042534</v>
      </c>
      <c r="E110" s="90">
        <f t="shared" si="11"/>
        <v>739.68792560927022</v>
      </c>
      <c r="F110" s="90">
        <f t="shared" si="12"/>
        <v>0</v>
      </c>
      <c r="G110" s="90">
        <f t="shared" si="13"/>
        <v>739.68792560927022</v>
      </c>
      <c r="H110" s="90">
        <f t="shared" si="14"/>
        <v>546.4263198524618</v>
      </c>
      <c r="I110" s="90">
        <f t="shared" si="15"/>
        <v>193.26160575680845</v>
      </c>
      <c r="J110" s="90">
        <f t="shared" si="16"/>
        <v>57432.05540719007</v>
      </c>
    </row>
    <row r="111" spans="2:10" x14ac:dyDescent="0.25">
      <c r="B111" s="78">
        <f t="shared" si="10"/>
        <v>91</v>
      </c>
      <c r="C111" s="383">
        <f t="shared" si="17"/>
        <v>47150</v>
      </c>
      <c r="D111" s="90">
        <f t="shared" si="18"/>
        <v>57432.05540719007</v>
      </c>
      <c r="E111" s="90">
        <f t="shared" si="11"/>
        <v>739.68792560927022</v>
      </c>
      <c r="F111" s="90">
        <f t="shared" si="12"/>
        <v>0</v>
      </c>
      <c r="G111" s="90">
        <f t="shared" si="13"/>
        <v>739.68792560927022</v>
      </c>
      <c r="H111" s="90">
        <f t="shared" si="14"/>
        <v>548.24774091863662</v>
      </c>
      <c r="I111" s="90">
        <f t="shared" si="15"/>
        <v>191.44018469063357</v>
      </c>
      <c r="J111" s="90">
        <f t="shared" si="16"/>
        <v>56883.80766627143</v>
      </c>
    </row>
    <row r="112" spans="2:10" x14ac:dyDescent="0.25">
      <c r="B112" s="78">
        <f t="shared" si="10"/>
        <v>92</v>
      </c>
      <c r="C112" s="383">
        <f t="shared" si="17"/>
        <v>47178</v>
      </c>
      <c r="D112" s="90">
        <f t="shared" si="18"/>
        <v>56883.80766627143</v>
      </c>
      <c r="E112" s="90">
        <f t="shared" si="11"/>
        <v>739.68792560927022</v>
      </c>
      <c r="F112" s="90">
        <f t="shared" si="12"/>
        <v>0</v>
      </c>
      <c r="G112" s="90">
        <f t="shared" si="13"/>
        <v>739.68792560927022</v>
      </c>
      <c r="H112" s="90">
        <f t="shared" si="14"/>
        <v>550.0752333883654</v>
      </c>
      <c r="I112" s="90">
        <f t="shared" si="15"/>
        <v>189.61269222090479</v>
      </c>
      <c r="J112" s="90">
        <f t="shared" si="16"/>
        <v>56333.732432883065</v>
      </c>
    </row>
    <row r="113" spans="2:10" x14ac:dyDescent="0.25">
      <c r="B113" s="78">
        <f t="shared" si="10"/>
        <v>93</v>
      </c>
      <c r="C113" s="383">
        <f t="shared" si="17"/>
        <v>47209</v>
      </c>
      <c r="D113" s="90">
        <f t="shared" si="18"/>
        <v>56333.732432883065</v>
      </c>
      <c r="E113" s="90">
        <f t="shared" si="11"/>
        <v>739.68792560927022</v>
      </c>
      <c r="F113" s="90">
        <f t="shared" si="12"/>
        <v>0</v>
      </c>
      <c r="G113" s="90">
        <f t="shared" si="13"/>
        <v>739.68792560927022</v>
      </c>
      <c r="H113" s="90">
        <f t="shared" si="14"/>
        <v>551.90881749966002</v>
      </c>
      <c r="I113" s="90">
        <f t="shared" si="15"/>
        <v>187.77910810961021</v>
      </c>
      <c r="J113" s="90">
        <f t="shared" si="16"/>
        <v>55781.823615383408</v>
      </c>
    </row>
    <row r="114" spans="2:10" x14ac:dyDescent="0.25">
      <c r="B114" s="78">
        <f t="shared" si="10"/>
        <v>94</v>
      </c>
      <c r="C114" s="383">
        <f t="shared" si="17"/>
        <v>47239</v>
      </c>
      <c r="D114" s="90">
        <f t="shared" si="18"/>
        <v>55781.823615383408</v>
      </c>
      <c r="E114" s="90">
        <f t="shared" si="11"/>
        <v>739.68792560927022</v>
      </c>
      <c r="F114" s="90">
        <f t="shared" si="12"/>
        <v>0</v>
      </c>
      <c r="G114" s="90">
        <f t="shared" si="13"/>
        <v>739.68792560927022</v>
      </c>
      <c r="H114" s="90">
        <f t="shared" si="14"/>
        <v>553.74851355799217</v>
      </c>
      <c r="I114" s="90">
        <f t="shared" si="15"/>
        <v>185.93941205127803</v>
      </c>
      <c r="J114" s="90">
        <f t="shared" si="16"/>
        <v>55228.075101825416</v>
      </c>
    </row>
    <row r="115" spans="2:10" x14ac:dyDescent="0.25">
      <c r="B115" s="78">
        <f t="shared" si="10"/>
        <v>95</v>
      </c>
      <c r="C115" s="383">
        <f t="shared" si="17"/>
        <v>47270</v>
      </c>
      <c r="D115" s="90">
        <f t="shared" si="18"/>
        <v>55228.075101825416</v>
      </c>
      <c r="E115" s="90">
        <f t="shared" si="11"/>
        <v>739.68792560927022</v>
      </c>
      <c r="F115" s="90">
        <f t="shared" si="12"/>
        <v>0</v>
      </c>
      <c r="G115" s="90">
        <f t="shared" si="13"/>
        <v>739.68792560927022</v>
      </c>
      <c r="H115" s="90">
        <f t="shared" si="14"/>
        <v>555.59434193651884</v>
      </c>
      <c r="I115" s="90">
        <f t="shared" si="15"/>
        <v>184.09358367275138</v>
      </c>
      <c r="J115" s="90">
        <f t="shared" si="16"/>
        <v>54672.480759888895</v>
      </c>
    </row>
    <row r="116" spans="2:10" x14ac:dyDescent="0.25">
      <c r="B116" s="78">
        <f t="shared" si="10"/>
        <v>96</v>
      </c>
      <c r="C116" s="383">
        <f t="shared" si="17"/>
        <v>47300</v>
      </c>
      <c r="D116" s="90">
        <f t="shared" si="18"/>
        <v>54672.480759888895</v>
      </c>
      <c r="E116" s="90">
        <f t="shared" si="11"/>
        <v>739.68792560927022</v>
      </c>
      <c r="F116" s="90">
        <f t="shared" si="12"/>
        <v>0</v>
      </c>
      <c r="G116" s="90">
        <f t="shared" si="13"/>
        <v>739.68792560927022</v>
      </c>
      <c r="H116" s="90">
        <f t="shared" si="14"/>
        <v>557.44632307630729</v>
      </c>
      <c r="I116" s="90">
        <f t="shared" si="15"/>
        <v>182.24160253296296</v>
      </c>
      <c r="J116" s="90">
        <f t="shared" si="16"/>
        <v>54115.034436812588</v>
      </c>
    </row>
    <row r="117" spans="2:10" x14ac:dyDescent="0.25">
      <c r="B117" s="78">
        <f t="shared" si="10"/>
        <v>97</v>
      </c>
      <c r="C117" s="383">
        <f t="shared" si="17"/>
        <v>47331</v>
      </c>
      <c r="D117" s="90">
        <f t="shared" si="18"/>
        <v>54115.034436812588</v>
      </c>
      <c r="E117" s="90">
        <f t="shared" si="11"/>
        <v>739.68792560927022</v>
      </c>
      <c r="F117" s="90">
        <f t="shared" si="12"/>
        <v>0</v>
      </c>
      <c r="G117" s="90">
        <f t="shared" si="13"/>
        <v>739.68792560927022</v>
      </c>
      <c r="H117" s="90">
        <f t="shared" si="14"/>
        <v>559.30447748656161</v>
      </c>
      <c r="I117" s="90">
        <f t="shared" si="15"/>
        <v>180.38344812270861</v>
      </c>
      <c r="J117" s="90">
        <f t="shared" si="16"/>
        <v>53555.729959326025</v>
      </c>
    </row>
    <row r="118" spans="2:10" x14ac:dyDescent="0.25">
      <c r="B118" s="78">
        <f t="shared" si="10"/>
        <v>98</v>
      </c>
      <c r="C118" s="383">
        <f t="shared" si="17"/>
        <v>47362</v>
      </c>
      <c r="D118" s="90">
        <f t="shared" si="18"/>
        <v>53555.729959326025</v>
      </c>
      <c r="E118" s="90">
        <f t="shared" si="11"/>
        <v>739.68792560927022</v>
      </c>
      <c r="F118" s="90">
        <f t="shared" si="12"/>
        <v>0</v>
      </c>
      <c r="G118" s="90">
        <f t="shared" si="13"/>
        <v>739.68792560927022</v>
      </c>
      <c r="H118" s="90">
        <f t="shared" si="14"/>
        <v>561.1688257448501</v>
      </c>
      <c r="I118" s="90">
        <f t="shared" si="15"/>
        <v>178.5190998644201</v>
      </c>
      <c r="J118" s="90">
        <f t="shared" si="16"/>
        <v>52994.561133581177</v>
      </c>
    </row>
    <row r="119" spans="2:10" x14ac:dyDescent="0.25">
      <c r="B119" s="78">
        <f t="shared" si="10"/>
        <v>99</v>
      </c>
      <c r="C119" s="383">
        <f t="shared" si="17"/>
        <v>47392</v>
      </c>
      <c r="D119" s="90">
        <f t="shared" si="18"/>
        <v>52994.561133581177</v>
      </c>
      <c r="E119" s="90">
        <f t="shared" si="11"/>
        <v>739.68792560927022</v>
      </c>
      <c r="F119" s="90">
        <f t="shared" si="12"/>
        <v>0</v>
      </c>
      <c r="G119" s="90">
        <f t="shared" si="13"/>
        <v>739.68792560927022</v>
      </c>
      <c r="H119" s="90">
        <f t="shared" si="14"/>
        <v>563.03938849733299</v>
      </c>
      <c r="I119" s="90">
        <f t="shared" si="15"/>
        <v>176.64853711193726</v>
      </c>
      <c r="J119" s="90">
        <f t="shared" si="16"/>
        <v>52431.521745083846</v>
      </c>
    </row>
    <row r="120" spans="2:10" x14ac:dyDescent="0.25">
      <c r="B120" s="78">
        <f t="shared" si="10"/>
        <v>100</v>
      </c>
      <c r="C120" s="383">
        <f t="shared" si="17"/>
        <v>47423</v>
      </c>
      <c r="D120" s="90">
        <f t="shared" si="18"/>
        <v>52431.521745083846</v>
      </c>
      <c r="E120" s="90">
        <f t="shared" si="11"/>
        <v>739.68792560927022</v>
      </c>
      <c r="F120" s="90">
        <f t="shared" si="12"/>
        <v>0</v>
      </c>
      <c r="G120" s="90">
        <f t="shared" si="13"/>
        <v>739.68792560927022</v>
      </c>
      <c r="H120" s="90">
        <f t="shared" si="14"/>
        <v>564.91618645899075</v>
      </c>
      <c r="I120" s="90">
        <f t="shared" si="15"/>
        <v>174.77173915027947</v>
      </c>
      <c r="J120" s="90">
        <f t="shared" si="16"/>
        <v>51866.605558624855</v>
      </c>
    </row>
    <row r="121" spans="2:10" x14ac:dyDescent="0.25">
      <c r="B121" s="78">
        <f t="shared" si="10"/>
        <v>101</v>
      </c>
      <c r="C121" s="383">
        <f t="shared" si="17"/>
        <v>47453</v>
      </c>
      <c r="D121" s="90">
        <f t="shared" si="18"/>
        <v>51866.605558624855</v>
      </c>
      <c r="E121" s="90">
        <f t="shared" si="11"/>
        <v>739.68792560927022</v>
      </c>
      <c r="F121" s="90">
        <f t="shared" si="12"/>
        <v>0</v>
      </c>
      <c r="G121" s="90">
        <f t="shared" si="13"/>
        <v>739.68792560927022</v>
      </c>
      <c r="H121" s="90">
        <f t="shared" si="14"/>
        <v>566.79924041385402</v>
      </c>
      <c r="I121" s="90">
        <f t="shared" si="15"/>
        <v>172.8886851954162</v>
      </c>
      <c r="J121" s="90">
        <f t="shared" si="16"/>
        <v>51299.806318210998</v>
      </c>
    </row>
    <row r="122" spans="2:10" x14ac:dyDescent="0.25">
      <c r="B122" s="78">
        <f t="shared" si="10"/>
        <v>102</v>
      </c>
      <c r="C122" s="383">
        <f t="shared" si="17"/>
        <v>47484</v>
      </c>
      <c r="D122" s="90">
        <f t="shared" si="18"/>
        <v>51299.806318210998</v>
      </c>
      <c r="E122" s="90">
        <f t="shared" si="11"/>
        <v>739.68792560927022</v>
      </c>
      <c r="F122" s="90">
        <f t="shared" si="12"/>
        <v>0</v>
      </c>
      <c r="G122" s="90">
        <f t="shared" si="13"/>
        <v>739.68792560927022</v>
      </c>
      <c r="H122" s="90">
        <f t="shared" si="14"/>
        <v>568.68857121523354</v>
      </c>
      <c r="I122" s="90">
        <f t="shared" si="15"/>
        <v>170.99935439403666</v>
      </c>
      <c r="J122" s="90">
        <f t="shared" si="16"/>
        <v>50731.117746995762</v>
      </c>
    </row>
    <row r="123" spans="2:10" x14ac:dyDescent="0.25">
      <c r="B123" s="78">
        <f t="shared" si="10"/>
        <v>103</v>
      </c>
      <c r="C123" s="383">
        <f t="shared" si="17"/>
        <v>47515</v>
      </c>
      <c r="D123" s="90">
        <f t="shared" si="18"/>
        <v>50731.117746995762</v>
      </c>
      <c r="E123" s="90">
        <f t="shared" si="11"/>
        <v>739.68792560927022</v>
      </c>
      <c r="F123" s="90">
        <f t="shared" si="12"/>
        <v>0</v>
      </c>
      <c r="G123" s="90">
        <f t="shared" si="13"/>
        <v>739.68792560927022</v>
      </c>
      <c r="H123" s="90">
        <f t="shared" si="14"/>
        <v>570.584199785951</v>
      </c>
      <c r="I123" s="90">
        <f t="shared" si="15"/>
        <v>169.10372582331919</v>
      </c>
      <c r="J123" s="90">
        <f t="shared" si="16"/>
        <v>50160.533547209809</v>
      </c>
    </row>
    <row r="124" spans="2:10" x14ac:dyDescent="0.25">
      <c r="B124" s="78">
        <f t="shared" si="10"/>
        <v>104</v>
      </c>
      <c r="C124" s="383">
        <f t="shared" si="17"/>
        <v>47543</v>
      </c>
      <c r="D124" s="90">
        <f t="shared" si="18"/>
        <v>50160.533547209809</v>
      </c>
      <c r="E124" s="90">
        <f t="shared" si="11"/>
        <v>739.68792560927022</v>
      </c>
      <c r="F124" s="90">
        <f t="shared" si="12"/>
        <v>0</v>
      </c>
      <c r="G124" s="90">
        <f t="shared" si="13"/>
        <v>739.68792560927022</v>
      </c>
      <c r="H124" s="90">
        <f t="shared" si="14"/>
        <v>572.4861471185709</v>
      </c>
      <c r="I124" s="90">
        <f t="shared" si="15"/>
        <v>167.20177849069935</v>
      </c>
      <c r="J124" s="90">
        <f t="shared" si="16"/>
        <v>49588.047400091236</v>
      </c>
    </row>
    <row r="125" spans="2:10" x14ac:dyDescent="0.25">
      <c r="B125" s="78">
        <f t="shared" si="10"/>
        <v>105</v>
      </c>
      <c r="C125" s="383">
        <f t="shared" si="17"/>
        <v>47574</v>
      </c>
      <c r="D125" s="90">
        <f t="shared" si="18"/>
        <v>49588.047400091236</v>
      </c>
      <c r="E125" s="90">
        <f t="shared" si="11"/>
        <v>739.68792560927022</v>
      </c>
      <c r="F125" s="90">
        <f t="shared" si="12"/>
        <v>0</v>
      </c>
      <c r="G125" s="90">
        <f t="shared" si="13"/>
        <v>739.68792560927022</v>
      </c>
      <c r="H125" s="90">
        <f t="shared" si="14"/>
        <v>574.39443427563276</v>
      </c>
      <c r="I125" s="90">
        <f t="shared" si="15"/>
        <v>165.29349133363746</v>
      </c>
      <c r="J125" s="90">
        <f t="shared" si="16"/>
        <v>49013.652965815607</v>
      </c>
    </row>
    <row r="126" spans="2:10" x14ac:dyDescent="0.25">
      <c r="B126" s="78">
        <f t="shared" si="10"/>
        <v>106</v>
      </c>
      <c r="C126" s="383">
        <f t="shared" si="17"/>
        <v>47604</v>
      </c>
      <c r="D126" s="90">
        <f t="shared" si="18"/>
        <v>49013.652965815607</v>
      </c>
      <c r="E126" s="90">
        <f t="shared" si="11"/>
        <v>739.68792560927022</v>
      </c>
      <c r="F126" s="90">
        <f t="shared" si="12"/>
        <v>0</v>
      </c>
      <c r="G126" s="90">
        <f t="shared" si="13"/>
        <v>739.68792560927022</v>
      </c>
      <c r="H126" s="90">
        <f t="shared" si="14"/>
        <v>576.30908238988491</v>
      </c>
      <c r="I126" s="90">
        <f t="shared" si="15"/>
        <v>163.37884321938535</v>
      </c>
      <c r="J126" s="90">
        <f t="shared" si="16"/>
        <v>48437.343883425725</v>
      </c>
    </row>
    <row r="127" spans="2:10" x14ac:dyDescent="0.25">
      <c r="B127" s="78">
        <f t="shared" si="10"/>
        <v>107</v>
      </c>
      <c r="C127" s="383">
        <f t="shared" si="17"/>
        <v>47635</v>
      </c>
      <c r="D127" s="90">
        <f t="shared" si="18"/>
        <v>48437.343883425725</v>
      </c>
      <c r="E127" s="90">
        <f t="shared" si="11"/>
        <v>739.68792560927022</v>
      </c>
      <c r="F127" s="90">
        <f t="shared" si="12"/>
        <v>0</v>
      </c>
      <c r="G127" s="90">
        <f t="shared" si="13"/>
        <v>739.68792560927022</v>
      </c>
      <c r="H127" s="90">
        <f t="shared" si="14"/>
        <v>578.23011266451783</v>
      </c>
      <c r="I127" s="90">
        <f t="shared" si="15"/>
        <v>161.45781294475242</v>
      </c>
      <c r="J127" s="90">
        <f t="shared" si="16"/>
        <v>47859.113770761207</v>
      </c>
    </row>
    <row r="128" spans="2:10" x14ac:dyDescent="0.25">
      <c r="B128" s="78">
        <f t="shared" si="10"/>
        <v>108</v>
      </c>
      <c r="C128" s="383">
        <f t="shared" si="17"/>
        <v>47665</v>
      </c>
      <c r="D128" s="90">
        <f t="shared" si="18"/>
        <v>47859.113770761207</v>
      </c>
      <c r="E128" s="90">
        <f t="shared" si="11"/>
        <v>739.68792560927022</v>
      </c>
      <c r="F128" s="90">
        <f t="shared" si="12"/>
        <v>0</v>
      </c>
      <c r="G128" s="90">
        <f t="shared" si="13"/>
        <v>739.68792560927022</v>
      </c>
      <c r="H128" s="90">
        <f t="shared" si="14"/>
        <v>580.15754637339955</v>
      </c>
      <c r="I128" s="90">
        <f t="shared" si="15"/>
        <v>159.5303792358707</v>
      </c>
      <c r="J128" s="90">
        <f t="shared" si="16"/>
        <v>47278.95622438781</v>
      </c>
    </row>
    <row r="129" spans="2:10" x14ac:dyDescent="0.25">
      <c r="B129" s="78">
        <f t="shared" si="10"/>
        <v>109</v>
      </c>
      <c r="C129" s="383">
        <f t="shared" si="17"/>
        <v>47696</v>
      </c>
      <c r="D129" s="90">
        <f t="shared" si="18"/>
        <v>47278.95622438781</v>
      </c>
      <c r="E129" s="90">
        <f t="shared" si="11"/>
        <v>739.68792560927022</v>
      </c>
      <c r="F129" s="90">
        <f t="shared" si="12"/>
        <v>0</v>
      </c>
      <c r="G129" s="90">
        <f t="shared" si="13"/>
        <v>739.68792560927022</v>
      </c>
      <c r="H129" s="90">
        <f t="shared" si="14"/>
        <v>582.09140486131082</v>
      </c>
      <c r="I129" s="90">
        <f t="shared" si="15"/>
        <v>157.59652074795937</v>
      </c>
      <c r="J129" s="90">
        <f t="shared" si="16"/>
        <v>46696.864819526498</v>
      </c>
    </row>
    <row r="130" spans="2:10" x14ac:dyDescent="0.25">
      <c r="B130" s="78">
        <f t="shared" si="10"/>
        <v>110</v>
      </c>
      <c r="C130" s="383">
        <f t="shared" si="17"/>
        <v>47727</v>
      </c>
      <c r="D130" s="90">
        <f t="shared" si="18"/>
        <v>46696.864819526498</v>
      </c>
      <c r="E130" s="90">
        <f t="shared" si="11"/>
        <v>739.68792560927022</v>
      </c>
      <c r="F130" s="90">
        <f t="shared" si="12"/>
        <v>0</v>
      </c>
      <c r="G130" s="90">
        <f t="shared" si="13"/>
        <v>739.68792560927022</v>
      </c>
      <c r="H130" s="90">
        <f t="shared" si="14"/>
        <v>584.03170954418192</v>
      </c>
      <c r="I130" s="90">
        <f t="shared" si="15"/>
        <v>155.65621606508833</v>
      </c>
      <c r="J130" s="90">
        <f t="shared" si="16"/>
        <v>46112.833109982319</v>
      </c>
    </row>
    <row r="131" spans="2:10" x14ac:dyDescent="0.25">
      <c r="B131" s="78">
        <f t="shared" si="10"/>
        <v>111</v>
      </c>
      <c r="C131" s="383">
        <f t="shared" si="17"/>
        <v>47757</v>
      </c>
      <c r="D131" s="90">
        <f t="shared" si="18"/>
        <v>46112.833109982319</v>
      </c>
      <c r="E131" s="90">
        <f t="shared" si="11"/>
        <v>739.68792560927022</v>
      </c>
      <c r="F131" s="90">
        <f t="shared" si="12"/>
        <v>0</v>
      </c>
      <c r="G131" s="90">
        <f t="shared" si="13"/>
        <v>739.68792560927022</v>
      </c>
      <c r="H131" s="90">
        <f t="shared" si="14"/>
        <v>585.97848190932916</v>
      </c>
      <c r="I131" s="90">
        <f t="shared" si="15"/>
        <v>153.70944369994106</v>
      </c>
      <c r="J131" s="90">
        <f t="shared" si="16"/>
        <v>45526.854628072993</v>
      </c>
    </row>
    <row r="132" spans="2:10" x14ac:dyDescent="0.25">
      <c r="B132" s="78">
        <f t="shared" si="10"/>
        <v>112</v>
      </c>
      <c r="C132" s="383">
        <f t="shared" si="17"/>
        <v>47788</v>
      </c>
      <c r="D132" s="90">
        <f t="shared" si="18"/>
        <v>45526.854628072993</v>
      </c>
      <c r="E132" s="90">
        <f t="shared" si="11"/>
        <v>739.68792560927022</v>
      </c>
      <c r="F132" s="90">
        <f t="shared" si="12"/>
        <v>0</v>
      </c>
      <c r="G132" s="90">
        <f t="shared" si="13"/>
        <v>739.68792560927022</v>
      </c>
      <c r="H132" s="90">
        <f t="shared" si="14"/>
        <v>587.9317435156936</v>
      </c>
      <c r="I132" s="90">
        <f t="shared" si="15"/>
        <v>151.75618209357665</v>
      </c>
      <c r="J132" s="90">
        <f t="shared" si="16"/>
        <v>44938.922884557302</v>
      </c>
    </row>
    <row r="133" spans="2:10" x14ac:dyDescent="0.25">
      <c r="B133" s="78">
        <f t="shared" si="10"/>
        <v>113</v>
      </c>
      <c r="C133" s="383">
        <f t="shared" si="17"/>
        <v>47818</v>
      </c>
      <c r="D133" s="90">
        <f t="shared" si="18"/>
        <v>44938.922884557302</v>
      </c>
      <c r="E133" s="90">
        <f t="shared" si="11"/>
        <v>739.68792560927022</v>
      </c>
      <c r="F133" s="90">
        <f t="shared" si="12"/>
        <v>0</v>
      </c>
      <c r="G133" s="90">
        <f t="shared" si="13"/>
        <v>739.68792560927022</v>
      </c>
      <c r="H133" s="90">
        <f t="shared" si="14"/>
        <v>589.89151599407921</v>
      </c>
      <c r="I133" s="90">
        <f t="shared" si="15"/>
        <v>149.79640961519101</v>
      </c>
      <c r="J133" s="90">
        <f t="shared" si="16"/>
        <v>44349.031368563221</v>
      </c>
    </row>
    <row r="134" spans="2:10" x14ac:dyDescent="0.25">
      <c r="B134" s="78">
        <f t="shared" si="10"/>
        <v>114</v>
      </c>
      <c r="C134" s="383">
        <f t="shared" si="17"/>
        <v>47849</v>
      </c>
      <c r="D134" s="90">
        <f t="shared" si="18"/>
        <v>44349.031368563221</v>
      </c>
      <c r="E134" s="90">
        <f t="shared" si="11"/>
        <v>739.68792560927022</v>
      </c>
      <c r="F134" s="90">
        <f t="shared" si="12"/>
        <v>0</v>
      </c>
      <c r="G134" s="90">
        <f t="shared" si="13"/>
        <v>739.68792560927022</v>
      </c>
      <c r="H134" s="90">
        <f t="shared" si="14"/>
        <v>591.8578210473928</v>
      </c>
      <c r="I134" s="90">
        <f t="shared" si="15"/>
        <v>147.83010456187739</v>
      </c>
      <c r="J134" s="90">
        <f t="shared" si="16"/>
        <v>43757.173547515828</v>
      </c>
    </row>
    <row r="135" spans="2:10" x14ac:dyDescent="0.25">
      <c r="B135" s="78">
        <f t="shared" si="10"/>
        <v>115</v>
      </c>
      <c r="C135" s="383">
        <f t="shared" si="17"/>
        <v>47880</v>
      </c>
      <c r="D135" s="90">
        <f t="shared" si="18"/>
        <v>43757.173547515828</v>
      </c>
      <c r="E135" s="90">
        <f t="shared" si="11"/>
        <v>739.68792560927022</v>
      </c>
      <c r="F135" s="90">
        <f t="shared" si="12"/>
        <v>0</v>
      </c>
      <c r="G135" s="90">
        <f t="shared" si="13"/>
        <v>739.68792560927022</v>
      </c>
      <c r="H135" s="90">
        <f t="shared" si="14"/>
        <v>593.83068045088407</v>
      </c>
      <c r="I135" s="90">
        <f t="shared" si="15"/>
        <v>145.85724515838609</v>
      </c>
      <c r="J135" s="90">
        <f t="shared" si="16"/>
        <v>43163.342867064945</v>
      </c>
    </row>
    <row r="136" spans="2:10" x14ac:dyDescent="0.25">
      <c r="B136" s="78">
        <f t="shared" si="10"/>
        <v>116</v>
      </c>
      <c r="C136" s="383">
        <f t="shared" si="17"/>
        <v>47908</v>
      </c>
      <c r="D136" s="90">
        <f t="shared" si="18"/>
        <v>43163.342867064945</v>
      </c>
      <c r="E136" s="90">
        <f t="shared" si="11"/>
        <v>739.68792560927022</v>
      </c>
      <c r="F136" s="90">
        <f t="shared" si="12"/>
        <v>0</v>
      </c>
      <c r="G136" s="90">
        <f t="shared" si="13"/>
        <v>739.68792560927022</v>
      </c>
      <c r="H136" s="90">
        <f t="shared" si="14"/>
        <v>595.81011605238712</v>
      </c>
      <c r="I136" s="90">
        <f t="shared" si="15"/>
        <v>143.87780955688314</v>
      </c>
      <c r="J136" s="90">
        <f t="shared" si="16"/>
        <v>42567.532751012557</v>
      </c>
    </row>
    <row r="137" spans="2:10" x14ac:dyDescent="0.25">
      <c r="B137" s="78">
        <f t="shared" si="10"/>
        <v>117</v>
      </c>
      <c r="C137" s="383">
        <f t="shared" si="17"/>
        <v>47939</v>
      </c>
      <c r="D137" s="90">
        <f t="shared" si="18"/>
        <v>42567.532751012557</v>
      </c>
      <c r="E137" s="90">
        <f t="shared" si="11"/>
        <v>739.68792560927022</v>
      </c>
      <c r="F137" s="90">
        <f t="shared" si="12"/>
        <v>0</v>
      </c>
      <c r="G137" s="90">
        <f t="shared" si="13"/>
        <v>739.68792560927022</v>
      </c>
      <c r="H137" s="90">
        <f t="shared" si="14"/>
        <v>597.79614977256165</v>
      </c>
      <c r="I137" s="90">
        <f t="shared" si="15"/>
        <v>141.89177583670852</v>
      </c>
      <c r="J137" s="90">
        <f t="shared" si="16"/>
        <v>41969.736601239994</v>
      </c>
    </row>
    <row r="138" spans="2:10" x14ac:dyDescent="0.25">
      <c r="B138" s="78">
        <f t="shared" si="10"/>
        <v>118</v>
      </c>
      <c r="C138" s="383">
        <f t="shared" si="17"/>
        <v>47969</v>
      </c>
      <c r="D138" s="90">
        <f t="shared" si="18"/>
        <v>41969.736601239994</v>
      </c>
      <c r="E138" s="90">
        <f t="shared" si="11"/>
        <v>739.68792560927022</v>
      </c>
      <c r="F138" s="90">
        <f t="shared" si="12"/>
        <v>0</v>
      </c>
      <c r="G138" s="90">
        <f t="shared" si="13"/>
        <v>739.68792560927022</v>
      </c>
      <c r="H138" s="90">
        <f t="shared" si="14"/>
        <v>599.78880360513688</v>
      </c>
      <c r="I138" s="90">
        <f t="shared" si="15"/>
        <v>139.89912200413332</v>
      </c>
      <c r="J138" s="90">
        <f t="shared" si="16"/>
        <v>41369.947797634857</v>
      </c>
    </row>
    <row r="139" spans="2:10" x14ac:dyDescent="0.25">
      <c r="B139" s="78">
        <f t="shared" si="10"/>
        <v>119</v>
      </c>
      <c r="C139" s="383">
        <f t="shared" si="17"/>
        <v>48000</v>
      </c>
      <c r="D139" s="90">
        <f t="shared" si="18"/>
        <v>41369.947797634857</v>
      </c>
      <c r="E139" s="90">
        <f t="shared" si="11"/>
        <v>739.68792560927022</v>
      </c>
      <c r="F139" s="90">
        <f t="shared" si="12"/>
        <v>0</v>
      </c>
      <c r="G139" s="90">
        <f t="shared" si="13"/>
        <v>739.68792560927022</v>
      </c>
      <c r="H139" s="90">
        <f t="shared" si="14"/>
        <v>601.78809961715399</v>
      </c>
      <c r="I139" s="90">
        <f t="shared" si="15"/>
        <v>137.89982599211621</v>
      </c>
      <c r="J139" s="90">
        <f t="shared" si="16"/>
        <v>40768.159698017706</v>
      </c>
    </row>
    <row r="140" spans="2:10" x14ac:dyDescent="0.25">
      <c r="B140" s="78">
        <f t="shared" si="10"/>
        <v>120</v>
      </c>
      <c r="C140" s="383">
        <f t="shared" si="17"/>
        <v>48030</v>
      </c>
      <c r="D140" s="90">
        <f t="shared" si="18"/>
        <v>40768.159698017706</v>
      </c>
      <c r="E140" s="90">
        <f t="shared" si="11"/>
        <v>739.68792560927022</v>
      </c>
      <c r="F140" s="90">
        <f t="shared" si="12"/>
        <v>0</v>
      </c>
      <c r="G140" s="90">
        <f t="shared" si="13"/>
        <v>739.68792560927022</v>
      </c>
      <c r="H140" s="90">
        <f t="shared" si="14"/>
        <v>603.79405994921126</v>
      </c>
      <c r="I140" s="90">
        <f t="shared" si="15"/>
        <v>135.89386566005902</v>
      </c>
      <c r="J140" s="90">
        <f t="shared" si="16"/>
        <v>40164.365638068492</v>
      </c>
    </row>
    <row r="141" spans="2:10" x14ac:dyDescent="0.25">
      <c r="B141" s="78">
        <f t="shared" si="10"/>
        <v>121</v>
      </c>
      <c r="C141" s="383">
        <f t="shared" si="17"/>
        <v>48061</v>
      </c>
      <c r="D141" s="90">
        <f t="shared" si="18"/>
        <v>40164.365638068492</v>
      </c>
      <c r="E141" s="90">
        <f t="shared" si="11"/>
        <v>739.68792560927022</v>
      </c>
      <c r="F141" s="90">
        <f t="shared" si="12"/>
        <v>0</v>
      </c>
      <c r="G141" s="90">
        <f t="shared" si="13"/>
        <v>739.68792560927022</v>
      </c>
      <c r="H141" s="90">
        <f t="shared" si="14"/>
        <v>605.80670681570859</v>
      </c>
      <c r="I141" s="90">
        <f t="shared" si="15"/>
        <v>133.88121879356166</v>
      </c>
      <c r="J141" s="90">
        <f t="shared" si="16"/>
        <v>39558.558931252781</v>
      </c>
    </row>
    <row r="142" spans="2:10" x14ac:dyDescent="0.25">
      <c r="B142" s="78">
        <f t="shared" si="10"/>
        <v>122</v>
      </c>
      <c r="C142" s="383">
        <f t="shared" si="17"/>
        <v>48092</v>
      </c>
      <c r="D142" s="90">
        <f t="shared" si="18"/>
        <v>39558.558931252781</v>
      </c>
      <c r="E142" s="90">
        <f t="shared" si="11"/>
        <v>739.68792560927022</v>
      </c>
      <c r="F142" s="90">
        <f t="shared" si="12"/>
        <v>0</v>
      </c>
      <c r="G142" s="90">
        <f t="shared" si="13"/>
        <v>739.68792560927022</v>
      </c>
      <c r="H142" s="90">
        <f t="shared" si="14"/>
        <v>607.82606250509434</v>
      </c>
      <c r="I142" s="90">
        <f t="shared" si="15"/>
        <v>131.86186310417594</v>
      </c>
      <c r="J142" s="90">
        <f t="shared" si="16"/>
        <v>38950.732868747684</v>
      </c>
    </row>
    <row r="143" spans="2:10" x14ac:dyDescent="0.25">
      <c r="B143" s="78">
        <f t="shared" si="10"/>
        <v>123</v>
      </c>
      <c r="C143" s="383">
        <f t="shared" si="17"/>
        <v>48122</v>
      </c>
      <c r="D143" s="90">
        <f t="shared" si="18"/>
        <v>38950.732868747684</v>
      </c>
      <c r="E143" s="90">
        <f t="shared" si="11"/>
        <v>739.68792560927022</v>
      </c>
      <c r="F143" s="90">
        <f t="shared" si="12"/>
        <v>0</v>
      </c>
      <c r="G143" s="90">
        <f t="shared" si="13"/>
        <v>739.68792560927022</v>
      </c>
      <c r="H143" s="90">
        <f t="shared" si="14"/>
        <v>609.85214938011131</v>
      </c>
      <c r="I143" s="90">
        <f t="shared" si="15"/>
        <v>129.83577622915894</v>
      </c>
      <c r="J143" s="90">
        <f t="shared" si="16"/>
        <v>38340.880719367575</v>
      </c>
    </row>
    <row r="144" spans="2:10" x14ac:dyDescent="0.25">
      <c r="B144" s="78">
        <f t="shared" si="10"/>
        <v>124</v>
      </c>
      <c r="C144" s="383">
        <f t="shared" si="17"/>
        <v>48153</v>
      </c>
      <c r="D144" s="90">
        <f t="shared" si="18"/>
        <v>38340.880719367575</v>
      </c>
      <c r="E144" s="90">
        <f t="shared" si="11"/>
        <v>739.68792560927022</v>
      </c>
      <c r="F144" s="90">
        <f t="shared" si="12"/>
        <v>0</v>
      </c>
      <c r="G144" s="90">
        <f t="shared" si="13"/>
        <v>739.68792560927022</v>
      </c>
      <c r="H144" s="90">
        <f t="shared" si="14"/>
        <v>611.88498987804496</v>
      </c>
      <c r="I144" s="90">
        <f t="shared" si="15"/>
        <v>127.80293573122526</v>
      </c>
      <c r="J144" s="90">
        <f t="shared" si="16"/>
        <v>37728.995729489528</v>
      </c>
    </row>
    <row r="145" spans="2:10" x14ac:dyDescent="0.25">
      <c r="B145" s="78">
        <f t="shared" si="10"/>
        <v>125</v>
      </c>
      <c r="C145" s="383">
        <f t="shared" si="17"/>
        <v>48183</v>
      </c>
      <c r="D145" s="90">
        <f t="shared" si="18"/>
        <v>37728.995729489528</v>
      </c>
      <c r="E145" s="90">
        <f t="shared" si="11"/>
        <v>739.68792560927022</v>
      </c>
      <c r="F145" s="90">
        <f t="shared" si="12"/>
        <v>0</v>
      </c>
      <c r="G145" s="90">
        <f t="shared" si="13"/>
        <v>739.68792560927022</v>
      </c>
      <c r="H145" s="90">
        <f t="shared" si="14"/>
        <v>613.92460651097178</v>
      </c>
      <c r="I145" s="90">
        <f t="shared" si="15"/>
        <v>125.76331909829844</v>
      </c>
      <c r="J145" s="90">
        <f t="shared" si="16"/>
        <v>37115.071122978559</v>
      </c>
    </row>
    <row r="146" spans="2:10" x14ac:dyDescent="0.25">
      <c r="B146" s="78">
        <f t="shared" si="10"/>
        <v>126</v>
      </c>
      <c r="C146" s="383">
        <f t="shared" si="17"/>
        <v>48214</v>
      </c>
      <c r="D146" s="90">
        <f t="shared" si="18"/>
        <v>37115.071122978559</v>
      </c>
      <c r="E146" s="90">
        <f t="shared" si="11"/>
        <v>739.68792560927022</v>
      </c>
      <c r="F146" s="90">
        <f t="shared" si="12"/>
        <v>0</v>
      </c>
      <c r="G146" s="90">
        <f t="shared" si="13"/>
        <v>739.68792560927022</v>
      </c>
      <c r="H146" s="90">
        <f t="shared" si="14"/>
        <v>615.97102186600841</v>
      </c>
      <c r="I146" s="90">
        <f t="shared" si="15"/>
        <v>123.71690374326187</v>
      </c>
      <c r="J146" s="90">
        <f t="shared" si="16"/>
        <v>36499.100101112548</v>
      </c>
    </row>
    <row r="147" spans="2:10" x14ac:dyDescent="0.25">
      <c r="B147" s="78">
        <f t="shared" si="10"/>
        <v>127</v>
      </c>
      <c r="C147" s="383">
        <f t="shared" si="17"/>
        <v>48245</v>
      </c>
      <c r="D147" s="90">
        <f t="shared" si="18"/>
        <v>36499.100101112548</v>
      </c>
      <c r="E147" s="90">
        <f t="shared" si="11"/>
        <v>739.68792560927022</v>
      </c>
      <c r="F147" s="90">
        <f t="shared" si="12"/>
        <v>0</v>
      </c>
      <c r="G147" s="90">
        <f t="shared" si="13"/>
        <v>739.68792560927022</v>
      </c>
      <c r="H147" s="90">
        <f t="shared" si="14"/>
        <v>618.02425860556173</v>
      </c>
      <c r="I147" s="90">
        <f t="shared" si="15"/>
        <v>121.6636670037085</v>
      </c>
      <c r="J147" s="90">
        <f t="shared" si="16"/>
        <v>35881.075842506987</v>
      </c>
    </row>
    <row r="148" spans="2:10" x14ac:dyDescent="0.25">
      <c r="B148" s="78">
        <f t="shared" si="10"/>
        <v>128</v>
      </c>
      <c r="C148" s="383">
        <f t="shared" si="17"/>
        <v>48274</v>
      </c>
      <c r="D148" s="90">
        <f t="shared" si="18"/>
        <v>35881.075842506987</v>
      </c>
      <c r="E148" s="90">
        <f t="shared" si="11"/>
        <v>739.68792560927022</v>
      </c>
      <c r="F148" s="90">
        <f t="shared" si="12"/>
        <v>0</v>
      </c>
      <c r="G148" s="90">
        <f t="shared" si="13"/>
        <v>739.68792560927022</v>
      </c>
      <c r="H148" s="90">
        <f t="shared" si="14"/>
        <v>620.08433946758032</v>
      </c>
      <c r="I148" s="90">
        <f t="shared" si="15"/>
        <v>119.60358614168996</v>
      </c>
      <c r="J148" s="90">
        <f t="shared" si="16"/>
        <v>35260.991503039404</v>
      </c>
    </row>
    <row r="149" spans="2:10" x14ac:dyDescent="0.25">
      <c r="B149" s="78">
        <f t="shared" si="10"/>
        <v>129</v>
      </c>
      <c r="C149" s="383">
        <f t="shared" si="17"/>
        <v>48305</v>
      </c>
      <c r="D149" s="90">
        <f t="shared" si="18"/>
        <v>35260.991503039404</v>
      </c>
      <c r="E149" s="90">
        <f t="shared" si="11"/>
        <v>739.68792560927022</v>
      </c>
      <c r="F149" s="90">
        <f t="shared" si="12"/>
        <v>0</v>
      </c>
      <c r="G149" s="90">
        <f t="shared" si="13"/>
        <v>739.68792560927022</v>
      </c>
      <c r="H149" s="90">
        <f t="shared" si="14"/>
        <v>622.15128726580554</v>
      </c>
      <c r="I149" s="90">
        <f t="shared" si="15"/>
        <v>117.53663834346469</v>
      </c>
      <c r="J149" s="90">
        <f t="shared" si="16"/>
        <v>34638.840215773598</v>
      </c>
    </row>
    <row r="150" spans="2:10" x14ac:dyDescent="0.25">
      <c r="B150" s="78">
        <f t="shared" si="10"/>
        <v>130</v>
      </c>
      <c r="C150" s="383">
        <f t="shared" si="17"/>
        <v>48335</v>
      </c>
      <c r="D150" s="90">
        <f t="shared" si="18"/>
        <v>34638.840215773598</v>
      </c>
      <c r="E150" s="90">
        <f t="shared" si="11"/>
        <v>739.68792560927022</v>
      </c>
      <c r="F150" s="90">
        <f t="shared" si="12"/>
        <v>0</v>
      </c>
      <c r="G150" s="90">
        <f t="shared" si="13"/>
        <v>739.68792560927022</v>
      </c>
      <c r="H150" s="90">
        <f t="shared" si="14"/>
        <v>624.22512489002486</v>
      </c>
      <c r="I150" s="90">
        <f t="shared" si="15"/>
        <v>115.46280071924532</v>
      </c>
      <c r="J150" s="90">
        <f t="shared" si="16"/>
        <v>34014.61509088357</v>
      </c>
    </row>
    <row r="151" spans="2:10" x14ac:dyDescent="0.25">
      <c r="B151" s="78">
        <f t="shared" ref="B151:B214" si="19">IF(OR(ISERROR(IF(B150+1&lt;=$E$13,B150+1,"")),J150&lt;=0),"",IF(B150+1&lt;=$E$13,B150+1,""))</f>
        <v>131</v>
      </c>
      <c r="C151" s="383">
        <f t="shared" si="17"/>
        <v>48366</v>
      </c>
      <c r="D151" s="90">
        <f t="shared" si="18"/>
        <v>34014.61509088357</v>
      </c>
      <c r="E151" s="90">
        <f t="shared" ref="E151:E214" si="20">IF(B151&lt;&gt;"",$E$12,"")</f>
        <v>739.68792560927022</v>
      </c>
      <c r="F151" s="90">
        <f t="shared" ref="F151:F214" si="21">IF(B151&lt;&gt;"",$E$9,"")</f>
        <v>0</v>
      </c>
      <c r="G151" s="90">
        <f t="shared" ref="G151:G214" si="22">IF(B151&lt;&gt;"",E151+F151,"")</f>
        <v>739.68792560927022</v>
      </c>
      <c r="H151" s="90">
        <f t="shared" ref="H151:H214" si="23">IF(B151&lt;&gt;"",E151+F151-I151,"")</f>
        <v>626.30587530632499</v>
      </c>
      <c r="I151" s="90">
        <f t="shared" ref="I151:I214" si="24">IF(B151&lt;&gt;"",D151*$E$6/12,"")</f>
        <v>113.38205030294523</v>
      </c>
      <c r="J151" s="90">
        <f t="shared" ref="J151:J214" si="25">IF(B151&lt;&gt;"",D151-H151,"")</f>
        <v>33388.309215577247</v>
      </c>
    </row>
    <row r="152" spans="2:10" x14ac:dyDescent="0.25">
      <c r="B152" s="78">
        <f t="shared" si="19"/>
        <v>132</v>
      </c>
      <c r="C152" s="383">
        <f t="shared" ref="C152:C215" si="26">IF(B152&lt;&gt;"",DATE(YEAR(C151),MONTH(C151)+1,DAY(C151)),"")</f>
        <v>48396</v>
      </c>
      <c r="D152" s="90">
        <f t="shared" ref="D152:D215" si="27">IF(B152&lt;&gt;"",J151,"")</f>
        <v>33388.309215577247</v>
      </c>
      <c r="E152" s="90">
        <f t="shared" si="20"/>
        <v>739.68792560927022</v>
      </c>
      <c r="F152" s="90">
        <f t="shared" si="21"/>
        <v>0</v>
      </c>
      <c r="G152" s="90">
        <f t="shared" si="22"/>
        <v>739.68792560927022</v>
      </c>
      <c r="H152" s="90">
        <f t="shared" si="23"/>
        <v>628.39356155734606</v>
      </c>
      <c r="I152" s="90">
        <f t="shared" si="24"/>
        <v>111.29436405192416</v>
      </c>
      <c r="J152" s="90">
        <f t="shared" si="25"/>
        <v>32759.9156540199</v>
      </c>
    </row>
    <row r="153" spans="2:10" x14ac:dyDescent="0.25">
      <c r="B153" s="78">
        <f t="shared" si="19"/>
        <v>133</v>
      </c>
      <c r="C153" s="383">
        <f t="shared" si="26"/>
        <v>48427</v>
      </c>
      <c r="D153" s="90">
        <f t="shared" si="27"/>
        <v>32759.9156540199</v>
      </c>
      <c r="E153" s="90">
        <f t="shared" si="20"/>
        <v>739.68792560927022</v>
      </c>
      <c r="F153" s="90">
        <f t="shared" si="21"/>
        <v>0</v>
      </c>
      <c r="G153" s="90">
        <f t="shared" si="22"/>
        <v>739.68792560927022</v>
      </c>
      <c r="H153" s="90">
        <f t="shared" si="23"/>
        <v>630.48820676253717</v>
      </c>
      <c r="I153" s="90">
        <f t="shared" si="24"/>
        <v>109.19971884673301</v>
      </c>
      <c r="J153" s="90">
        <f t="shared" si="25"/>
        <v>32129.427447257363</v>
      </c>
    </row>
    <row r="154" spans="2:10" x14ac:dyDescent="0.25">
      <c r="B154" s="78">
        <f t="shared" si="19"/>
        <v>134</v>
      </c>
      <c r="C154" s="383">
        <f t="shared" si="26"/>
        <v>48458</v>
      </c>
      <c r="D154" s="90">
        <f t="shared" si="27"/>
        <v>32129.427447257363</v>
      </c>
      <c r="E154" s="90">
        <f t="shared" si="20"/>
        <v>739.68792560927022</v>
      </c>
      <c r="F154" s="90">
        <f t="shared" si="21"/>
        <v>0</v>
      </c>
      <c r="G154" s="90">
        <f t="shared" si="22"/>
        <v>739.68792560927022</v>
      </c>
      <c r="H154" s="90">
        <f t="shared" si="23"/>
        <v>632.58983411841234</v>
      </c>
      <c r="I154" s="90">
        <f t="shared" si="24"/>
        <v>107.09809149085788</v>
      </c>
      <c r="J154" s="90">
        <f t="shared" si="25"/>
        <v>31496.837613138952</v>
      </c>
    </row>
    <row r="155" spans="2:10" x14ac:dyDescent="0.25">
      <c r="B155" s="78">
        <f t="shared" si="19"/>
        <v>135</v>
      </c>
      <c r="C155" s="383">
        <f t="shared" si="26"/>
        <v>48488</v>
      </c>
      <c r="D155" s="90">
        <f t="shared" si="27"/>
        <v>31496.837613138952</v>
      </c>
      <c r="E155" s="90">
        <f t="shared" si="20"/>
        <v>739.68792560927022</v>
      </c>
      <c r="F155" s="90">
        <f t="shared" si="21"/>
        <v>0</v>
      </c>
      <c r="G155" s="90">
        <f t="shared" si="22"/>
        <v>739.68792560927022</v>
      </c>
      <c r="H155" s="90">
        <f t="shared" si="23"/>
        <v>634.69846689880706</v>
      </c>
      <c r="I155" s="90">
        <f t="shared" si="24"/>
        <v>104.98945871046317</v>
      </c>
      <c r="J155" s="90">
        <f t="shared" si="25"/>
        <v>30862.139146240144</v>
      </c>
    </row>
    <row r="156" spans="2:10" x14ac:dyDescent="0.25">
      <c r="B156" s="78">
        <f t="shared" si="19"/>
        <v>136</v>
      </c>
      <c r="C156" s="383">
        <f t="shared" si="26"/>
        <v>48519</v>
      </c>
      <c r="D156" s="90">
        <f t="shared" si="27"/>
        <v>30862.139146240144</v>
      </c>
      <c r="E156" s="90">
        <f t="shared" si="20"/>
        <v>739.68792560927022</v>
      </c>
      <c r="F156" s="90">
        <f t="shared" si="21"/>
        <v>0</v>
      </c>
      <c r="G156" s="90">
        <f t="shared" si="22"/>
        <v>739.68792560927022</v>
      </c>
      <c r="H156" s="90">
        <f t="shared" si="23"/>
        <v>636.81412845513637</v>
      </c>
      <c r="I156" s="90">
        <f t="shared" si="24"/>
        <v>102.87379715413381</v>
      </c>
      <c r="J156" s="90">
        <f t="shared" si="25"/>
        <v>30225.32501778501</v>
      </c>
    </row>
    <row r="157" spans="2:10" x14ac:dyDescent="0.25">
      <c r="B157" s="78">
        <f t="shared" si="19"/>
        <v>137</v>
      </c>
      <c r="C157" s="383">
        <f t="shared" si="26"/>
        <v>48549</v>
      </c>
      <c r="D157" s="90">
        <f t="shared" si="27"/>
        <v>30225.32501778501</v>
      </c>
      <c r="E157" s="90">
        <f t="shared" si="20"/>
        <v>739.68792560927022</v>
      </c>
      <c r="F157" s="90">
        <f t="shared" si="21"/>
        <v>0</v>
      </c>
      <c r="G157" s="90">
        <f t="shared" si="22"/>
        <v>739.68792560927022</v>
      </c>
      <c r="H157" s="90">
        <f t="shared" si="23"/>
        <v>638.93684221665353</v>
      </c>
      <c r="I157" s="90">
        <f t="shared" si="24"/>
        <v>100.75108339261669</v>
      </c>
      <c r="J157" s="90">
        <f t="shared" si="25"/>
        <v>29586.388175568354</v>
      </c>
    </row>
    <row r="158" spans="2:10" x14ac:dyDescent="0.25">
      <c r="B158" s="78">
        <f t="shared" si="19"/>
        <v>138</v>
      </c>
      <c r="C158" s="383">
        <f t="shared" si="26"/>
        <v>48580</v>
      </c>
      <c r="D158" s="90">
        <f t="shared" si="27"/>
        <v>29586.388175568354</v>
      </c>
      <c r="E158" s="90">
        <f t="shared" si="20"/>
        <v>739.68792560927022</v>
      </c>
      <c r="F158" s="90">
        <f t="shared" si="21"/>
        <v>0</v>
      </c>
      <c r="G158" s="90">
        <f t="shared" si="22"/>
        <v>739.68792560927022</v>
      </c>
      <c r="H158" s="90">
        <f t="shared" si="23"/>
        <v>641.06663169070907</v>
      </c>
      <c r="I158" s="90">
        <f t="shared" si="24"/>
        <v>98.621293918561193</v>
      </c>
      <c r="J158" s="90">
        <f t="shared" si="25"/>
        <v>28945.321543877646</v>
      </c>
    </row>
    <row r="159" spans="2:10" x14ac:dyDescent="0.25">
      <c r="B159" s="78">
        <f t="shared" si="19"/>
        <v>139</v>
      </c>
      <c r="C159" s="383">
        <f t="shared" si="26"/>
        <v>48611</v>
      </c>
      <c r="D159" s="90">
        <f t="shared" si="27"/>
        <v>28945.321543877646</v>
      </c>
      <c r="E159" s="90">
        <f t="shared" si="20"/>
        <v>739.68792560927022</v>
      </c>
      <c r="F159" s="90">
        <f t="shared" si="21"/>
        <v>0</v>
      </c>
      <c r="G159" s="90">
        <f t="shared" si="22"/>
        <v>739.68792560927022</v>
      </c>
      <c r="H159" s="90">
        <f t="shared" si="23"/>
        <v>643.20352046301139</v>
      </c>
      <c r="I159" s="90">
        <f t="shared" si="24"/>
        <v>96.484405146258823</v>
      </c>
      <c r="J159" s="90">
        <f t="shared" si="25"/>
        <v>28302.118023414634</v>
      </c>
    </row>
    <row r="160" spans="2:10" x14ac:dyDescent="0.25">
      <c r="B160" s="78">
        <f t="shared" si="19"/>
        <v>140</v>
      </c>
      <c r="C160" s="383">
        <f t="shared" si="26"/>
        <v>48639</v>
      </c>
      <c r="D160" s="90">
        <f t="shared" si="27"/>
        <v>28302.118023414634</v>
      </c>
      <c r="E160" s="90">
        <f t="shared" si="20"/>
        <v>739.68792560927022</v>
      </c>
      <c r="F160" s="90">
        <f t="shared" si="21"/>
        <v>0</v>
      </c>
      <c r="G160" s="90">
        <f t="shared" si="22"/>
        <v>739.68792560927022</v>
      </c>
      <c r="H160" s="90">
        <f t="shared" si="23"/>
        <v>645.34753219788809</v>
      </c>
      <c r="I160" s="90">
        <f t="shared" si="24"/>
        <v>94.340393411382124</v>
      </c>
      <c r="J160" s="90">
        <f t="shared" si="25"/>
        <v>27656.770491216746</v>
      </c>
    </row>
    <row r="161" spans="2:10" x14ac:dyDescent="0.25">
      <c r="B161" s="78">
        <f t="shared" si="19"/>
        <v>141</v>
      </c>
      <c r="C161" s="383">
        <f t="shared" si="26"/>
        <v>48670</v>
      </c>
      <c r="D161" s="90">
        <f t="shared" si="27"/>
        <v>27656.770491216746</v>
      </c>
      <c r="E161" s="90">
        <f t="shared" si="20"/>
        <v>739.68792560927022</v>
      </c>
      <c r="F161" s="90">
        <f t="shared" si="21"/>
        <v>0</v>
      </c>
      <c r="G161" s="90">
        <f t="shared" si="22"/>
        <v>739.68792560927022</v>
      </c>
      <c r="H161" s="90">
        <f t="shared" si="23"/>
        <v>647.49869063854771</v>
      </c>
      <c r="I161" s="90">
        <f t="shared" si="24"/>
        <v>92.189234970722495</v>
      </c>
      <c r="J161" s="90">
        <f t="shared" si="25"/>
        <v>27009.271800578197</v>
      </c>
    </row>
    <row r="162" spans="2:10" x14ac:dyDescent="0.25">
      <c r="B162" s="78">
        <f t="shared" si="19"/>
        <v>142</v>
      </c>
      <c r="C162" s="383">
        <f t="shared" si="26"/>
        <v>48700</v>
      </c>
      <c r="D162" s="90">
        <f t="shared" si="27"/>
        <v>27009.271800578197</v>
      </c>
      <c r="E162" s="90">
        <f t="shared" si="20"/>
        <v>739.68792560927022</v>
      </c>
      <c r="F162" s="90">
        <f t="shared" si="21"/>
        <v>0</v>
      </c>
      <c r="G162" s="90">
        <f t="shared" si="22"/>
        <v>739.68792560927022</v>
      </c>
      <c r="H162" s="90">
        <f t="shared" si="23"/>
        <v>649.65701960734293</v>
      </c>
      <c r="I162" s="90">
        <f t="shared" si="24"/>
        <v>90.030906001927335</v>
      </c>
      <c r="J162" s="90">
        <f t="shared" si="25"/>
        <v>26359.614780970853</v>
      </c>
    </row>
    <row r="163" spans="2:10" x14ac:dyDescent="0.25">
      <c r="B163" s="78">
        <f t="shared" si="19"/>
        <v>143</v>
      </c>
      <c r="C163" s="383">
        <f t="shared" si="26"/>
        <v>48731</v>
      </c>
      <c r="D163" s="90">
        <f t="shared" si="27"/>
        <v>26359.614780970853</v>
      </c>
      <c r="E163" s="90">
        <f t="shared" si="20"/>
        <v>739.68792560927022</v>
      </c>
      <c r="F163" s="90">
        <f t="shared" si="21"/>
        <v>0</v>
      </c>
      <c r="G163" s="90">
        <f t="shared" si="22"/>
        <v>739.68792560927022</v>
      </c>
      <c r="H163" s="90">
        <f t="shared" si="23"/>
        <v>651.82254300603404</v>
      </c>
      <c r="I163" s="90">
        <f t="shared" si="24"/>
        <v>87.865382603236185</v>
      </c>
      <c r="J163" s="90">
        <f t="shared" si="25"/>
        <v>25707.792237964819</v>
      </c>
    </row>
    <row r="164" spans="2:10" x14ac:dyDescent="0.25">
      <c r="B164" s="78">
        <f t="shared" si="19"/>
        <v>144</v>
      </c>
      <c r="C164" s="383">
        <f t="shared" si="26"/>
        <v>48761</v>
      </c>
      <c r="D164" s="90">
        <f t="shared" si="27"/>
        <v>25707.792237964819</v>
      </c>
      <c r="E164" s="90">
        <f t="shared" si="20"/>
        <v>739.68792560927022</v>
      </c>
      <c r="F164" s="90">
        <f t="shared" si="21"/>
        <v>0</v>
      </c>
      <c r="G164" s="90">
        <f t="shared" si="22"/>
        <v>739.68792560927022</v>
      </c>
      <c r="H164" s="90">
        <f t="shared" si="23"/>
        <v>653.99528481605421</v>
      </c>
      <c r="I164" s="90">
        <f t="shared" si="24"/>
        <v>85.692640793216071</v>
      </c>
      <c r="J164" s="90">
        <f t="shared" si="25"/>
        <v>25053.796953148765</v>
      </c>
    </row>
    <row r="165" spans="2:10" x14ac:dyDescent="0.25">
      <c r="B165" s="78">
        <f t="shared" si="19"/>
        <v>145</v>
      </c>
      <c r="C165" s="383">
        <f t="shared" si="26"/>
        <v>48792</v>
      </c>
      <c r="D165" s="90">
        <f t="shared" si="27"/>
        <v>25053.796953148765</v>
      </c>
      <c r="E165" s="90">
        <f t="shared" si="20"/>
        <v>739.68792560927022</v>
      </c>
      <c r="F165" s="90">
        <f t="shared" si="21"/>
        <v>0</v>
      </c>
      <c r="G165" s="90">
        <f t="shared" si="22"/>
        <v>739.68792560927022</v>
      </c>
      <c r="H165" s="90">
        <f t="shared" si="23"/>
        <v>656.17526909877438</v>
      </c>
      <c r="I165" s="90">
        <f t="shared" si="24"/>
        <v>83.512656510495887</v>
      </c>
      <c r="J165" s="90">
        <f t="shared" si="25"/>
        <v>24397.621684049991</v>
      </c>
    </row>
    <row r="166" spans="2:10" x14ac:dyDescent="0.25">
      <c r="B166" s="78">
        <f t="shared" si="19"/>
        <v>146</v>
      </c>
      <c r="C166" s="383">
        <f t="shared" si="26"/>
        <v>48823</v>
      </c>
      <c r="D166" s="90">
        <f t="shared" si="27"/>
        <v>24397.621684049991</v>
      </c>
      <c r="E166" s="90">
        <f t="shared" si="20"/>
        <v>739.68792560927022</v>
      </c>
      <c r="F166" s="90">
        <f t="shared" si="21"/>
        <v>0</v>
      </c>
      <c r="G166" s="90">
        <f t="shared" si="22"/>
        <v>739.68792560927022</v>
      </c>
      <c r="H166" s="90">
        <f t="shared" si="23"/>
        <v>658.3625199957703</v>
      </c>
      <c r="I166" s="90">
        <f t="shared" si="24"/>
        <v>81.325405613499967</v>
      </c>
      <c r="J166" s="90">
        <f t="shared" si="25"/>
        <v>23739.25916405422</v>
      </c>
    </row>
    <row r="167" spans="2:10" x14ac:dyDescent="0.25">
      <c r="B167" s="78">
        <f t="shared" si="19"/>
        <v>147</v>
      </c>
      <c r="C167" s="383">
        <f t="shared" si="26"/>
        <v>48853</v>
      </c>
      <c r="D167" s="90">
        <f t="shared" si="27"/>
        <v>23739.25916405422</v>
      </c>
      <c r="E167" s="90">
        <f t="shared" si="20"/>
        <v>739.68792560927022</v>
      </c>
      <c r="F167" s="90">
        <f t="shared" si="21"/>
        <v>0</v>
      </c>
      <c r="G167" s="90">
        <f t="shared" si="22"/>
        <v>739.68792560927022</v>
      </c>
      <c r="H167" s="90">
        <f t="shared" si="23"/>
        <v>660.55706172908947</v>
      </c>
      <c r="I167" s="90">
        <f t="shared" si="24"/>
        <v>79.13086388018074</v>
      </c>
      <c r="J167" s="90">
        <f t="shared" si="25"/>
        <v>23078.702102325129</v>
      </c>
    </row>
    <row r="168" spans="2:10" x14ac:dyDescent="0.25">
      <c r="B168" s="78">
        <f t="shared" si="19"/>
        <v>148</v>
      </c>
      <c r="C168" s="383">
        <f t="shared" si="26"/>
        <v>48884</v>
      </c>
      <c r="D168" s="90">
        <f t="shared" si="27"/>
        <v>23078.702102325129</v>
      </c>
      <c r="E168" s="90">
        <f t="shared" si="20"/>
        <v>739.68792560927022</v>
      </c>
      <c r="F168" s="90">
        <f t="shared" si="21"/>
        <v>0</v>
      </c>
      <c r="G168" s="90">
        <f t="shared" si="22"/>
        <v>739.68792560927022</v>
      </c>
      <c r="H168" s="90">
        <f t="shared" si="23"/>
        <v>662.75891860151978</v>
      </c>
      <c r="I168" s="90">
        <f t="shared" si="24"/>
        <v>76.929007007750428</v>
      </c>
      <c r="J168" s="90">
        <f t="shared" si="25"/>
        <v>22415.943183723608</v>
      </c>
    </row>
    <row r="169" spans="2:10" x14ac:dyDescent="0.25">
      <c r="B169" s="78">
        <f t="shared" si="19"/>
        <v>149</v>
      </c>
      <c r="C169" s="383">
        <f t="shared" si="26"/>
        <v>48914</v>
      </c>
      <c r="D169" s="90">
        <f t="shared" si="27"/>
        <v>22415.943183723608</v>
      </c>
      <c r="E169" s="90">
        <f t="shared" si="20"/>
        <v>739.68792560927022</v>
      </c>
      <c r="F169" s="90">
        <f t="shared" si="21"/>
        <v>0</v>
      </c>
      <c r="G169" s="90">
        <f t="shared" si="22"/>
        <v>739.68792560927022</v>
      </c>
      <c r="H169" s="90">
        <f t="shared" si="23"/>
        <v>664.96811499685816</v>
      </c>
      <c r="I169" s="90">
        <f t="shared" si="24"/>
        <v>74.719810612412019</v>
      </c>
      <c r="J169" s="90">
        <f t="shared" si="25"/>
        <v>21750.975068726751</v>
      </c>
    </row>
    <row r="170" spans="2:10" x14ac:dyDescent="0.25">
      <c r="B170" s="78">
        <f t="shared" si="19"/>
        <v>150</v>
      </c>
      <c r="C170" s="383">
        <f t="shared" si="26"/>
        <v>48945</v>
      </c>
      <c r="D170" s="90">
        <f t="shared" si="27"/>
        <v>21750.975068726751</v>
      </c>
      <c r="E170" s="90">
        <f t="shared" si="20"/>
        <v>739.68792560927022</v>
      </c>
      <c r="F170" s="90">
        <f t="shared" si="21"/>
        <v>0</v>
      </c>
      <c r="G170" s="90">
        <f t="shared" si="22"/>
        <v>739.68792560927022</v>
      </c>
      <c r="H170" s="90">
        <f t="shared" si="23"/>
        <v>667.18467538018103</v>
      </c>
      <c r="I170" s="90">
        <f t="shared" si="24"/>
        <v>72.503250229089176</v>
      </c>
      <c r="J170" s="90">
        <f t="shared" si="25"/>
        <v>21083.790393346571</v>
      </c>
    </row>
    <row r="171" spans="2:10" x14ac:dyDescent="0.25">
      <c r="B171" s="78">
        <f t="shared" si="19"/>
        <v>151</v>
      </c>
      <c r="C171" s="383">
        <f t="shared" si="26"/>
        <v>48976</v>
      </c>
      <c r="D171" s="90">
        <f t="shared" si="27"/>
        <v>21083.790393346571</v>
      </c>
      <c r="E171" s="90">
        <f t="shared" si="20"/>
        <v>739.68792560927022</v>
      </c>
      <c r="F171" s="90">
        <f t="shared" si="21"/>
        <v>0</v>
      </c>
      <c r="G171" s="90">
        <f t="shared" si="22"/>
        <v>739.68792560927022</v>
      </c>
      <c r="H171" s="90">
        <f t="shared" si="23"/>
        <v>669.408624298115</v>
      </c>
      <c r="I171" s="90">
        <f t="shared" si="24"/>
        <v>70.279301311155237</v>
      </c>
      <c r="J171" s="90">
        <f t="shared" si="25"/>
        <v>20414.381769048457</v>
      </c>
    </row>
    <row r="172" spans="2:10" x14ac:dyDescent="0.25">
      <c r="B172" s="78">
        <f t="shared" si="19"/>
        <v>152</v>
      </c>
      <c r="C172" s="383">
        <f t="shared" si="26"/>
        <v>49004</v>
      </c>
      <c r="D172" s="90">
        <f t="shared" si="27"/>
        <v>20414.381769048457</v>
      </c>
      <c r="E172" s="90">
        <f t="shared" si="20"/>
        <v>739.68792560927022</v>
      </c>
      <c r="F172" s="90">
        <f t="shared" si="21"/>
        <v>0</v>
      </c>
      <c r="G172" s="90">
        <f t="shared" si="22"/>
        <v>739.68792560927022</v>
      </c>
      <c r="H172" s="90">
        <f t="shared" si="23"/>
        <v>671.63998637910868</v>
      </c>
      <c r="I172" s="90">
        <f t="shared" si="24"/>
        <v>68.047939230161532</v>
      </c>
      <c r="J172" s="90">
        <f t="shared" si="25"/>
        <v>19742.741782669349</v>
      </c>
    </row>
    <row r="173" spans="2:10" x14ac:dyDescent="0.25">
      <c r="B173" s="78">
        <f t="shared" si="19"/>
        <v>153</v>
      </c>
      <c r="C173" s="383">
        <f t="shared" si="26"/>
        <v>49035</v>
      </c>
      <c r="D173" s="90">
        <f t="shared" si="27"/>
        <v>19742.741782669349</v>
      </c>
      <c r="E173" s="90">
        <f t="shared" si="20"/>
        <v>739.68792560927022</v>
      </c>
      <c r="F173" s="90">
        <f t="shared" si="21"/>
        <v>0</v>
      </c>
      <c r="G173" s="90">
        <f t="shared" si="22"/>
        <v>739.68792560927022</v>
      </c>
      <c r="H173" s="90">
        <f t="shared" si="23"/>
        <v>673.87878633370576</v>
      </c>
      <c r="I173" s="90">
        <f t="shared" si="24"/>
        <v>65.809139275564505</v>
      </c>
      <c r="J173" s="90">
        <f t="shared" si="25"/>
        <v>19068.862996335643</v>
      </c>
    </row>
    <row r="174" spans="2:10" x14ac:dyDescent="0.25">
      <c r="B174" s="78">
        <f t="shared" si="19"/>
        <v>154</v>
      </c>
      <c r="C174" s="383">
        <f t="shared" si="26"/>
        <v>49065</v>
      </c>
      <c r="D174" s="90">
        <f t="shared" si="27"/>
        <v>19068.862996335643</v>
      </c>
      <c r="E174" s="90">
        <f t="shared" si="20"/>
        <v>739.68792560927022</v>
      </c>
      <c r="F174" s="90">
        <f t="shared" si="21"/>
        <v>0</v>
      </c>
      <c r="G174" s="90">
        <f t="shared" si="22"/>
        <v>739.68792560927022</v>
      </c>
      <c r="H174" s="90">
        <f t="shared" si="23"/>
        <v>676.12504895481811</v>
      </c>
      <c r="I174" s="90">
        <f t="shared" si="24"/>
        <v>63.562876654452147</v>
      </c>
      <c r="J174" s="90">
        <f t="shared" si="25"/>
        <v>18392.737947380825</v>
      </c>
    </row>
    <row r="175" spans="2:10" x14ac:dyDescent="0.25">
      <c r="B175" s="78">
        <f t="shared" si="19"/>
        <v>155</v>
      </c>
      <c r="C175" s="383">
        <f t="shared" si="26"/>
        <v>49096</v>
      </c>
      <c r="D175" s="90">
        <f t="shared" si="27"/>
        <v>18392.737947380825</v>
      </c>
      <c r="E175" s="90">
        <f t="shared" si="20"/>
        <v>739.68792560927022</v>
      </c>
      <c r="F175" s="90">
        <f t="shared" si="21"/>
        <v>0</v>
      </c>
      <c r="G175" s="90">
        <f t="shared" si="22"/>
        <v>739.68792560927022</v>
      </c>
      <c r="H175" s="90">
        <f t="shared" si="23"/>
        <v>678.37879911800076</v>
      </c>
      <c r="I175" s="90">
        <f t="shared" si="24"/>
        <v>61.309126491269417</v>
      </c>
      <c r="J175" s="90">
        <f t="shared" si="25"/>
        <v>17714.359148262825</v>
      </c>
    </row>
    <row r="176" spans="2:10" x14ac:dyDescent="0.25">
      <c r="B176" s="78">
        <f t="shared" si="19"/>
        <v>156</v>
      </c>
      <c r="C176" s="383">
        <f t="shared" si="26"/>
        <v>49126</v>
      </c>
      <c r="D176" s="90">
        <f t="shared" si="27"/>
        <v>17714.359148262825</v>
      </c>
      <c r="E176" s="90">
        <f t="shared" si="20"/>
        <v>739.68792560927022</v>
      </c>
      <c r="F176" s="90">
        <f t="shared" si="21"/>
        <v>0</v>
      </c>
      <c r="G176" s="90">
        <f t="shared" si="22"/>
        <v>739.68792560927022</v>
      </c>
      <c r="H176" s="90">
        <f t="shared" si="23"/>
        <v>680.64006178172747</v>
      </c>
      <c r="I176" s="90">
        <f t="shared" si="24"/>
        <v>59.047863827542756</v>
      </c>
      <c r="J176" s="90">
        <f t="shared" si="25"/>
        <v>17033.719086481098</v>
      </c>
    </row>
    <row r="177" spans="2:10" x14ac:dyDescent="0.25">
      <c r="B177" s="78">
        <f t="shared" si="19"/>
        <v>157</v>
      </c>
      <c r="C177" s="383">
        <f t="shared" si="26"/>
        <v>49157</v>
      </c>
      <c r="D177" s="90">
        <f t="shared" si="27"/>
        <v>17033.719086481098</v>
      </c>
      <c r="E177" s="90">
        <f t="shared" si="20"/>
        <v>739.68792560927022</v>
      </c>
      <c r="F177" s="90">
        <f t="shared" si="21"/>
        <v>0</v>
      </c>
      <c r="G177" s="90">
        <f t="shared" si="22"/>
        <v>739.68792560927022</v>
      </c>
      <c r="H177" s="90">
        <f t="shared" si="23"/>
        <v>682.90886198766657</v>
      </c>
      <c r="I177" s="90">
        <f t="shared" si="24"/>
        <v>56.779063621603662</v>
      </c>
      <c r="J177" s="90">
        <f t="shared" si="25"/>
        <v>16350.810224493431</v>
      </c>
    </row>
    <row r="178" spans="2:10" x14ac:dyDescent="0.25">
      <c r="B178" s="78">
        <f t="shared" si="19"/>
        <v>158</v>
      </c>
      <c r="C178" s="383">
        <f t="shared" si="26"/>
        <v>49188</v>
      </c>
      <c r="D178" s="90">
        <f t="shared" si="27"/>
        <v>16350.810224493431</v>
      </c>
      <c r="E178" s="90">
        <f t="shared" si="20"/>
        <v>739.68792560927022</v>
      </c>
      <c r="F178" s="90">
        <f t="shared" si="21"/>
        <v>0</v>
      </c>
      <c r="G178" s="90">
        <f t="shared" si="22"/>
        <v>739.68792560927022</v>
      </c>
      <c r="H178" s="90">
        <f t="shared" si="23"/>
        <v>685.18522486095878</v>
      </c>
      <c r="I178" s="90">
        <f t="shared" si="24"/>
        <v>54.50270074831144</v>
      </c>
      <c r="J178" s="90">
        <f t="shared" si="25"/>
        <v>15665.624999632471</v>
      </c>
    </row>
    <row r="179" spans="2:10" x14ac:dyDescent="0.25">
      <c r="B179" s="78">
        <f t="shared" si="19"/>
        <v>159</v>
      </c>
      <c r="C179" s="383">
        <f t="shared" si="26"/>
        <v>49218</v>
      </c>
      <c r="D179" s="90">
        <f t="shared" si="27"/>
        <v>15665.624999632471</v>
      </c>
      <c r="E179" s="90">
        <f t="shared" si="20"/>
        <v>739.68792560927022</v>
      </c>
      <c r="F179" s="90">
        <f t="shared" si="21"/>
        <v>0</v>
      </c>
      <c r="G179" s="90">
        <f t="shared" si="22"/>
        <v>739.68792560927022</v>
      </c>
      <c r="H179" s="90">
        <f t="shared" si="23"/>
        <v>687.46917561049531</v>
      </c>
      <c r="I179" s="90">
        <f t="shared" si="24"/>
        <v>52.218749998774904</v>
      </c>
      <c r="J179" s="90">
        <f t="shared" si="25"/>
        <v>14978.155824021977</v>
      </c>
    </row>
    <row r="180" spans="2:10" x14ac:dyDescent="0.25">
      <c r="B180" s="78">
        <f t="shared" si="19"/>
        <v>160</v>
      </c>
      <c r="C180" s="383">
        <f t="shared" si="26"/>
        <v>49249</v>
      </c>
      <c r="D180" s="90">
        <f t="shared" si="27"/>
        <v>14978.155824021977</v>
      </c>
      <c r="E180" s="90">
        <f t="shared" si="20"/>
        <v>739.68792560927022</v>
      </c>
      <c r="F180" s="90">
        <f t="shared" si="21"/>
        <v>0</v>
      </c>
      <c r="G180" s="90">
        <f t="shared" si="22"/>
        <v>739.68792560927022</v>
      </c>
      <c r="H180" s="90">
        <f t="shared" si="23"/>
        <v>689.76073952919694</v>
      </c>
      <c r="I180" s="90">
        <f t="shared" si="24"/>
        <v>49.927186080073255</v>
      </c>
      <c r="J180" s="90">
        <f t="shared" si="25"/>
        <v>14288.39508449278</v>
      </c>
    </row>
    <row r="181" spans="2:10" x14ac:dyDescent="0.25">
      <c r="B181" s="78">
        <f t="shared" si="19"/>
        <v>161</v>
      </c>
      <c r="C181" s="383">
        <f t="shared" si="26"/>
        <v>49279</v>
      </c>
      <c r="D181" s="90">
        <f t="shared" si="27"/>
        <v>14288.39508449278</v>
      </c>
      <c r="E181" s="90">
        <f t="shared" si="20"/>
        <v>739.68792560927022</v>
      </c>
      <c r="F181" s="90">
        <f t="shared" si="21"/>
        <v>0</v>
      </c>
      <c r="G181" s="90">
        <f t="shared" si="22"/>
        <v>739.68792560927022</v>
      </c>
      <c r="H181" s="90">
        <f t="shared" si="23"/>
        <v>692.05994199429426</v>
      </c>
      <c r="I181" s="90">
        <f t="shared" si="24"/>
        <v>47.627983614975932</v>
      </c>
      <c r="J181" s="90">
        <f t="shared" si="25"/>
        <v>13596.335142498487</v>
      </c>
    </row>
    <row r="182" spans="2:10" x14ac:dyDescent="0.25">
      <c r="B182" s="78">
        <f t="shared" si="19"/>
        <v>162</v>
      </c>
      <c r="C182" s="383">
        <f t="shared" si="26"/>
        <v>49310</v>
      </c>
      <c r="D182" s="90">
        <f t="shared" si="27"/>
        <v>13596.335142498487</v>
      </c>
      <c r="E182" s="90">
        <f t="shared" si="20"/>
        <v>739.68792560927022</v>
      </c>
      <c r="F182" s="90">
        <f t="shared" si="21"/>
        <v>0</v>
      </c>
      <c r="G182" s="90">
        <f t="shared" si="22"/>
        <v>739.68792560927022</v>
      </c>
      <c r="H182" s="90">
        <f t="shared" si="23"/>
        <v>694.36680846760862</v>
      </c>
      <c r="I182" s="90">
        <f t="shared" si="24"/>
        <v>45.321117141661624</v>
      </c>
      <c r="J182" s="90">
        <f t="shared" si="25"/>
        <v>12901.968334030878</v>
      </c>
    </row>
    <row r="183" spans="2:10" x14ac:dyDescent="0.25">
      <c r="B183" s="78">
        <f t="shared" si="19"/>
        <v>163</v>
      </c>
      <c r="C183" s="383">
        <f t="shared" si="26"/>
        <v>49341</v>
      </c>
      <c r="D183" s="90">
        <f t="shared" si="27"/>
        <v>12901.968334030878</v>
      </c>
      <c r="E183" s="90">
        <f t="shared" si="20"/>
        <v>739.68792560927022</v>
      </c>
      <c r="F183" s="90">
        <f t="shared" si="21"/>
        <v>0</v>
      </c>
      <c r="G183" s="90">
        <f t="shared" si="22"/>
        <v>739.68792560927022</v>
      </c>
      <c r="H183" s="90">
        <f t="shared" si="23"/>
        <v>696.68136449583392</v>
      </c>
      <c r="I183" s="90">
        <f t="shared" si="24"/>
        <v>43.006561113436256</v>
      </c>
      <c r="J183" s="90">
        <f t="shared" si="25"/>
        <v>12205.286969535044</v>
      </c>
    </row>
    <row r="184" spans="2:10" x14ac:dyDescent="0.25">
      <c r="B184" s="78">
        <f t="shared" si="19"/>
        <v>164</v>
      </c>
      <c r="C184" s="383">
        <f t="shared" si="26"/>
        <v>49369</v>
      </c>
      <c r="D184" s="90">
        <f t="shared" si="27"/>
        <v>12205.286969535044</v>
      </c>
      <c r="E184" s="90">
        <f t="shared" si="20"/>
        <v>739.68792560927022</v>
      </c>
      <c r="F184" s="90">
        <f t="shared" si="21"/>
        <v>0</v>
      </c>
      <c r="G184" s="90">
        <f t="shared" si="22"/>
        <v>739.68792560927022</v>
      </c>
      <c r="H184" s="90">
        <f t="shared" si="23"/>
        <v>699.00363571082005</v>
      </c>
      <c r="I184" s="90">
        <f t="shared" si="24"/>
        <v>40.684289898450146</v>
      </c>
      <c r="J184" s="90">
        <f t="shared" si="25"/>
        <v>11506.283333824224</v>
      </c>
    </row>
    <row r="185" spans="2:10" x14ac:dyDescent="0.25">
      <c r="B185" s="78">
        <f t="shared" si="19"/>
        <v>165</v>
      </c>
      <c r="C185" s="383">
        <f t="shared" si="26"/>
        <v>49400</v>
      </c>
      <c r="D185" s="90">
        <f t="shared" si="27"/>
        <v>11506.283333824224</v>
      </c>
      <c r="E185" s="90">
        <f t="shared" si="20"/>
        <v>739.68792560927022</v>
      </c>
      <c r="F185" s="90">
        <f t="shared" si="21"/>
        <v>0</v>
      </c>
      <c r="G185" s="90">
        <f t="shared" si="22"/>
        <v>739.68792560927022</v>
      </c>
      <c r="H185" s="90">
        <f t="shared" si="23"/>
        <v>701.33364782985609</v>
      </c>
      <c r="I185" s="90">
        <f t="shared" si="24"/>
        <v>38.354277779414083</v>
      </c>
      <c r="J185" s="90">
        <f t="shared" si="25"/>
        <v>10804.949685994368</v>
      </c>
    </row>
    <row r="186" spans="2:10" x14ac:dyDescent="0.25">
      <c r="B186" s="78">
        <f t="shared" si="19"/>
        <v>166</v>
      </c>
      <c r="C186" s="383">
        <f t="shared" si="26"/>
        <v>49430</v>
      </c>
      <c r="D186" s="90">
        <f t="shared" si="27"/>
        <v>10804.949685994368</v>
      </c>
      <c r="E186" s="90">
        <f t="shared" si="20"/>
        <v>739.68792560927022</v>
      </c>
      <c r="F186" s="90">
        <f t="shared" si="21"/>
        <v>0</v>
      </c>
      <c r="G186" s="90">
        <f t="shared" si="22"/>
        <v>739.68792560927022</v>
      </c>
      <c r="H186" s="90">
        <f t="shared" si="23"/>
        <v>703.67142665595566</v>
      </c>
      <c r="I186" s="90">
        <f t="shared" si="24"/>
        <v>36.01649895331456</v>
      </c>
      <c r="J186" s="90">
        <f t="shared" si="25"/>
        <v>10101.278259338413</v>
      </c>
    </row>
    <row r="187" spans="2:10" x14ac:dyDescent="0.25">
      <c r="B187" s="78">
        <f t="shared" si="19"/>
        <v>167</v>
      </c>
      <c r="C187" s="383">
        <f t="shared" si="26"/>
        <v>49461</v>
      </c>
      <c r="D187" s="90">
        <f t="shared" si="27"/>
        <v>10101.278259338413</v>
      </c>
      <c r="E187" s="90">
        <f t="shared" si="20"/>
        <v>739.68792560927022</v>
      </c>
      <c r="F187" s="90">
        <f t="shared" si="21"/>
        <v>0</v>
      </c>
      <c r="G187" s="90">
        <f t="shared" si="22"/>
        <v>739.68792560927022</v>
      </c>
      <c r="H187" s="90">
        <f t="shared" si="23"/>
        <v>706.01699807814214</v>
      </c>
      <c r="I187" s="90">
        <f t="shared" si="24"/>
        <v>33.670927531128044</v>
      </c>
      <c r="J187" s="90">
        <f t="shared" si="25"/>
        <v>9395.2612612602697</v>
      </c>
    </row>
    <row r="188" spans="2:10" x14ac:dyDescent="0.25">
      <c r="B188" s="78">
        <f t="shared" si="19"/>
        <v>168</v>
      </c>
      <c r="C188" s="383">
        <f t="shared" si="26"/>
        <v>49491</v>
      </c>
      <c r="D188" s="90">
        <f t="shared" si="27"/>
        <v>9395.2612612602697</v>
      </c>
      <c r="E188" s="90">
        <f t="shared" si="20"/>
        <v>739.68792560927022</v>
      </c>
      <c r="F188" s="90">
        <f t="shared" si="21"/>
        <v>0</v>
      </c>
      <c r="G188" s="90">
        <f t="shared" si="22"/>
        <v>739.68792560927022</v>
      </c>
      <c r="H188" s="90">
        <f t="shared" si="23"/>
        <v>708.37038807173599</v>
      </c>
      <c r="I188" s="90">
        <f t="shared" si="24"/>
        <v>31.317537537534232</v>
      </c>
      <c r="J188" s="90">
        <f t="shared" si="25"/>
        <v>8686.8908731885331</v>
      </c>
    </row>
    <row r="189" spans="2:10" x14ac:dyDescent="0.25">
      <c r="B189" s="78">
        <f t="shared" si="19"/>
        <v>169</v>
      </c>
      <c r="C189" s="383">
        <f t="shared" si="26"/>
        <v>49522</v>
      </c>
      <c r="D189" s="90">
        <f t="shared" si="27"/>
        <v>8686.8908731885331</v>
      </c>
      <c r="E189" s="90">
        <f t="shared" si="20"/>
        <v>739.68792560927022</v>
      </c>
      <c r="F189" s="90">
        <f t="shared" si="21"/>
        <v>0</v>
      </c>
      <c r="G189" s="90">
        <f t="shared" si="22"/>
        <v>739.68792560927022</v>
      </c>
      <c r="H189" s="90">
        <f t="shared" si="23"/>
        <v>710.73162269864179</v>
      </c>
      <c r="I189" s="90">
        <f t="shared" si="24"/>
        <v>28.956302910628441</v>
      </c>
      <c r="J189" s="90">
        <f t="shared" si="25"/>
        <v>7976.1592504898908</v>
      </c>
    </row>
    <row r="190" spans="2:10" x14ac:dyDescent="0.25">
      <c r="B190" s="78">
        <f t="shared" si="19"/>
        <v>170</v>
      </c>
      <c r="C190" s="383">
        <f t="shared" si="26"/>
        <v>49553</v>
      </c>
      <c r="D190" s="90">
        <f t="shared" si="27"/>
        <v>7976.1592504898908</v>
      </c>
      <c r="E190" s="90">
        <f t="shared" si="20"/>
        <v>739.68792560927022</v>
      </c>
      <c r="F190" s="90">
        <f t="shared" si="21"/>
        <v>0</v>
      </c>
      <c r="G190" s="90">
        <f t="shared" si="22"/>
        <v>739.68792560927022</v>
      </c>
      <c r="H190" s="90">
        <f t="shared" si="23"/>
        <v>713.10072810763722</v>
      </c>
      <c r="I190" s="90">
        <f t="shared" si="24"/>
        <v>26.587197501632971</v>
      </c>
      <c r="J190" s="90">
        <f t="shared" si="25"/>
        <v>7263.0585223822536</v>
      </c>
    </row>
    <row r="191" spans="2:10" x14ac:dyDescent="0.25">
      <c r="B191" s="78">
        <f t="shared" si="19"/>
        <v>171</v>
      </c>
      <c r="C191" s="383">
        <f t="shared" si="26"/>
        <v>49583</v>
      </c>
      <c r="D191" s="90">
        <f t="shared" si="27"/>
        <v>7263.0585223822536</v>
      </c>
      <c r="E191" s="90">
        <f t="shared" si="20"/>
        <v>739.68792560927022</v>
      </c>
      <c r="F191" s="90">
        <f t="shared" si="21"/>
        <v>0</v>
      </c>
      <c r="G191" s="90">
        <f t="shared" si="22"/>
        <v>739.68792560927022</v>
      </c>
      <c r="H191" s="90">
        <f t="shared" si="23"/>
        <v>715.47773053466267</v>
      </c>
      <c r="I191" s="90">
        <f t="shared" si="24"/>
        <v>24.210195074607512</v>
      </c>
      <c r="J191" s="90">
        <f t="shared" si="25"/>
        <v>6547.5807918475912</v>
      </c>
    </row>
    <row r="192" spans="2:10" x14ac:dyDescent="0.25">
      <c r="B192" s="78">
        <f t="shared" si="19"/>
        <v>172</v>
      </c>
      <c r="C192" s="383">
        <f t="shared" si="26"/>
        <v>49614</v>
      </c>
      <c r="D192" s="90">
        <f t="shared" si="27"/>
        <v>6547.5807918475912</v>
      </c>
      <c r="E192" s="90">
        <f t="shared" si="20"/>
        <v>739.68792560927022</v>
      </c>
      <c r="F192" s="90">
        <f t="shared" si="21"/>
        <v>0</v>
      </c>
      <c r="G192" s="90">
        <f t="shared" si="22"/>
        <v>739.68792560927022</v>
      </c>
      <c r="H192" s="90">
        <f t="shared" si="23"/>
        <v>717.86265630311163</v>
      </c>
      <c r="I192" s="90">
        <f t="shared" si="24"/>
        <v>21.825269306158635</v>
      </c>
      <c r="J192" s="90">
        <f t="shared" si="25"/>
        <v>5829.7181355444791</v>
      </c>
    </row>
    <row r="193" spans="2:10" x14ac:dyDescent="0.25">
      <c r="B193" s="78">
        <f t="shared" si="19"/>
        <v>173</v>
      </c>
      <c r="C193" s="383">
        <f t="shared" si="26"/>
        <v>49644</v>
      </c>
      <c r="D193" s="90">
        <f t="shared" si="27"/>
        <v>5829.7181355444791</v>
      </c>
      <c r="E193" s="90">
        <f t="shared" si="20"/>
        <v>739.68792560927022</v>
      </c>
      <c r="F193" s="90">
        <f t="shared" si="21"/>
        <v>0</v>
      </c>
      <c r="G193" s="90">
        <f t="shared" si="22"/>
        <v>739.68792560927022</v>
      </c>
      <c r="H193" s="90">
        <f t="shared" si="23"/>
        <v>720.25553182412193</v>
      </c>
      <c r="I193" s="90">
        <f t="shared" si="24"/>
        <v>19.432393785148264</v>
      </c>
      <c r="J193" s="90">
        <f t="shared" si="25"/>
        <v>5109.462603720357</v>
      </c>
    </row>
    <row r="194" spans="2:10" x14ac:dyDescent="0.25">
      <c r="B194" s="78">
        <f t="shared" si="19"/>
        <v>174</v>
      </c>
      <c r="C194" s="383">
        <f t="shared" si="26"/>
        <v>49675</v>
      </c>
      <c r="D194" s="90">
        <f t="shared" si="27"/>
        <v>5109.462603720357</v>
      </c>
      <c r="E194" s="90">
        <f t="shared" si="20"/>
        <v>739.68792560927022</v>
      </c>
      <c r="F194" s="90">
        <f t="shared" si="21"/>
        <v>0</v>
      </c>
      <c r="G194" s="90">
        <f t="shared" si="22"/>
        <v>739.68792560927022</v>
      </c>
      <c r="H194" s="90">
        <f t="shared" si="23"/>
        <v>722.65638359686909</v>
      </c>
      <c r="I194" s="90">
        <f t="shared" si="24"/>
        <v>17.031542012401189</v>
      </c>
      <c r="J194" s="90">
        <f t="shared" si="25"/>
        <v>4386.8062201234879</v>
      </c>
    </row>
    <row r="195" spans="2:10" x14ac:dyDescent="0.25">
      <c r="B195" s="78">
        <f t="shared" si="19"/>
        <v>175</v>
      </c>
      <c r="C195" s="383">
        <f t="shared" si="26"/>
        <v>49706</v>
      </c>
      <c r="D195" s="90">
        <f t="shared" si="27"/>
        <v>4386.8062201234879</v>
      </c>
      <c r="E195" s="90">
        <f t="shared" si="20"/>
        <v>739.68792560927022</v>
      </c>
      <c r="F195" s="90">
        <f t="shared" si="21"/>
        <v>0</v>
      </c>
      <c r="G195" s="90">
        <f t="shared" si="22"/>
        <v>739.68792560927022</v>
      </c>
      <c r="H195" s="90">
        <f t="shared" si="23"/>
        <v>725.06523820885855</v>
      </c>
      <c r="I195" s="90">
        <f t="shared" si="24"/>
        <v>14.622687400411627</v>
      </c>
      <c r="J195" s="90">
        <f t="shared" si="25"/>
        <v>3661.7409819146296</v>
      </c>
    </row>
    <row r="196" spans="2:10" x14ac:dyDescent="0.25">
      <c r="B196" s="78">
        <f t="shared" si="19"/>
        <v>176</v>
      </c>
      <c r="C196" s="383">
        <f t="shared" si="26"/>
        <v>49735</v>
      </c>
      <c r="D196" s="90">
        <f t="shared" si="27"/>
        <v>3661.7409819146296</v>
      </c>
      <c r="E196" s="90">
        <f t="shared" si="20"/>
        <v>739.68792560927022</v>
      </c>
      <c r="F196" s="90">
        <f t="shared" si="21"/>
        <v>0</v>
      </c>
      <c r="G196" s="90">
        <f t="shared" si="22"/>
        <v>739.68792560927022</v>
      </c>
      <c r="H196" s="90">
        <f t="shared" si="23"/>
        <v>727.48212233622144</v>
      </c>
      <c r="I196" s="90">
        <f t="shared" si="24"/>
        <v>12.205803273048765</v>
      </c>
      <c r="J196" s="90">
        <f t="shared" si="25"/>
        <v>2934.2588595784082</v>
      </c>
    </row>
    <row r="197" spans="2:10" x14ac:dyDescent="0.25">
      <c r="B197" s="78">
        <f t="shared" si="19"/>
        <v>177</v>
      </c>
      <c r="C197" s="383">
        <f t="shared" si="26"/>
        <v>49766</v>
      </c>
      <c r="D197" s="90">
        <f t="shared" si="27"/>
        <v>2934.2588595784082</v>
      </c>
      <c r="E197" s="90">
        <f t="shared" si="20"/>
        <v>739.68792560927022</v>
      </c>
      <c r="F197" s="90">
        <f t="shared" si="21"/>
        <v>0</v>
      </c>
      <c r="G197" s="90">
        <f t="shared" si="22"/>
        <v>739.68792560927022</v>
      </c>
      <c r="H197" s="90">
        <f t="shared" si="23"/>
        <v>729.90706274400884</v>
      </c>
      <c r="I197" s="90">
        <f t="shared" si="24"/>
        <v>9.7808628652613603</v>
      </c>
      <c r="J197" s="90">
        <f t="shared" si="25"/>
        <v>2204.3517968343995</v>
      </c>
    </row>
    <row r="198" spans="2:10" x14ac:dyDescent="0.25">
      <c r="B198" s="78">
        <f t="shared" si="19"/>
        <v>178</v>
      </c>
      <c r="C198" s="383">
        <f t="shared" si="26"/>
        <v>49796</v>
      </c>
      <c r="D198" s="90">
        <f t="shared" si="27"/>
        <v>2204.3517968343995</v>
      </c>
      <c r="E198" s="90">
        <f t="shared" si="20"/>
        <v>739.68792560927022</v>
      </c>
      <c r="F198" s="90">
        <f t="shared" si="21"/>
        <v>0</v>
      </c>
      <c r="G198" s="90">
        <f t="shared" si="22"/>
        <v>739.68792560927022</v>
      </c>
      <c r="H198" s="90">
        <f t="shared" si="23"/>
        <v>732.34008628648894</v>
      </c>
      <c r="I198" s="90">
        <f t="shared" si="24"/>
        <v>7.3478393227813319</v>
      </c>
      <c r="J198" s="90">
        <f t="shared" si="25"/>
        <v>1472.0117105479105</v>
      </c>
    </row>
    <row r="199" spans="2:10" x14ac:dyDescent="0.25">
      <c r="B199" s="78">
        <f t="shared" si="19"/>
        <v>179</v>
      </c>
      <c r="C199" s="383">
        <f t="shared" si="26"/>
        <v>49827</v>
      </c>
      <c r="D199" s="90">
        <f t="shared" si="27"/>
        <v>1472.0117105479105</v>
      </c>
      <c r="E199" s="90">
        <f t="shared" si="20"/>
        <v>739.68792560927022</v>
      </c>
      <c r="F199" s="90">
        <f t="shared" si="21"/>
        <v>0</v>
      </c>
      <c r="G199" s="90">
        <f t="shared" si="22"/>
        <v>739.68792560927022</v>
      </c>
      <c r="H199" s="90">
        <f t="shared" si="23"/>
        <v>734.78121990744387</v>
      </c>
      <c r="I199" s="90">
        <f t="shared" si="24"/>
        <v>4.9067057018263682</v>
      </c>
      <c r="J199" s="90">
        <f t="shared" si="25"/>
        <v>737.23049064046666</v>
      </c>
    </row>
    <row r="200" spans="2:10" x14ac:dyDescent="0.25">
      <c r="B200" s="78">
        <f t="shared" si="19"/>
        <v>180</v>
      </c>
      <c r="C200" s="383">
        <f t="shared" si="26"/>
        <v>49857</v>
      </c>
      <c r="D200" s="90">
        <f t="shared" si="27"/>
        <v>737.23049064046666</v>
      </c>
      <c r="E200" s="90">
        <f t="shared" si="20"/>
        <v>739.68792560927022</v>
      </c>
      <c r="F200" s="90">
        <f t="shared" si="21"/>
        <v>0</v>
      </c>
      <c r="G200" s="90">
        <f t="shared" si="22"/>
        <v>739.68792560927022</v>
      </c>
      <c r="H200" s="90">
        <f t="shared" si="23"/>
        <v>737.2304906404687</v>
      </c>
      <c r="I200" s="90">
        <f t="shared" si="24"/>
        <v>2.4574349688015555</v>
      </c>
      <c r="J200" s="90">
        <f t="shared" si="25"/>
        <v>-2.0463630789890885E-12</v>
      </c>
    </row>
    <row r="201" spans="2:10" x14ac:dyDescent="0.25">
      <c r="B201" s="78" t="str">
        <f t="shared" si="19"/>
        <v/>
      </c>
      <c r="C201" s="383" t="str">
        <f t="shared" si="26"/>
        <v/>
      </c>
      <c r="D201" s="90" t="str">
        <f t="shared" si="27"/>
        <v/>
      </c>
      <c r="E201" s="90" t="str">
        <f t="shared" si="20"/>
        <v/>
      </c>
      <c r="F201" s="90" t="str">
        <f t="shared" si="21"/>
        <v/>
      </c>
      <c r="G201" s="90" t="str">
        <f t="shared" si="22"/>
        <v/>
      </c>
      <c r="H201" s="90" t="str">
        <f t="shared" si="23"/>
        <v/>
      </c>
      <c r="I201" s="90" t="str">
        <f t="shared" si="24"/>
        <v/>
      </c>
      <c r="J201" s="90" t="str">
        <f t="shared" si="25"/>
        <v/>
      </c>
    </row>
    <row r="202" spans="2:10" x14ac:dyDescent="0.25">
      <c r="B202" s="78" t="str">
        <f t="shared" si="19"/>
        <v/>
      </c>
      <c r="C202" s="383" t="str">
        <f t="shared" si="26"/>
        <v/>
      </c>
      <c r="D202" s="90" t="str">
        <f t="shared" si="27"/>
        <v/>
      </c>
      <c r="E202" s="90" t="str">
        <f t="shared" si="20"/>
        <v/>
      </c>
      <c r="F202" s="90" t="str">
        <f t="shared" si="21"/>
        <v/>
      </c>
      <c r="G202" s="90" t="str">
        <f t="shared" si="22"/>
        <v/>
      </c>
      <c r="H202" s="90" t="str">
        <f t="shared" si="23"/>
        <v/>
      </c>
      <c r="I202" s="90" t="str">
        <f t="shared" si="24"/>
        <v/>
      </c>
      <c r="J202" s="90" t="str">
        <f t="shared" si="25"/>
        <v/>
      </c>
    </row>
    <row r="203" spans="2:10" x14ac:dyDescent="0.25">
      <c r="B203" s="78" t="str">
        <f t="shared" si="19"/>
        <v/>
      </c>
      <c r="C203" s="383" t="str">
        <f t="shared" si="26"/>
        <v/>
      </c>
      <c r="D203" s="90" t="str">
        <f t="shared" si="27"/>
        <v/>
      </c>
      <c r="E203" s="90" t="str">
        <f t="shared" si="20"/>
        <v/>
      </c>
      <c r="F203" s="90" t="str">
        <f t="shared" si="21"/>
        <v/>
      </c>
      <c r="G203" s="90" t="str">
        <f t="shared" si="22"/>
        <v/>
      </c>
      <c r="H203" s="90" t="str">
        <f t="shared" si="23"/>
        <v/>
      </c>
      <c r="I203" s="90" t="str">
        <f t="shared" si="24"/>
        <v/>
      </c>
      <c r="J203" s="90" t="str">
        <f t="shared" si="25"/>
        <v/>
      </c>
    </row>
    <row r="204" spans="2:10" x14ac:dyDescent="0.25">
      <c r="B204" s="78" t="str">
        <f t="shared" si="19"/>
        <v/>
      </c>
      <c r="C204" s="383" t="str">
        <f t="shared" si="26"/>
        <v/>
      </c>
      <c r="D204" s="90" t="str">
        <f t="shared" si="27"/>
        <v/>
      </c>
      <c r="E204" s="90" t="str">
        <f t="shared" si="20"/>
        <v/>
      </c>
      <c r="F204" s="90" t="str">
        <f t="shared" si="21"/>
        <v/>
      </c>
      <c r="G204" s="90" t="str">
        <f t="shared" si="22"/>
        <v/>
      </c>
      <c r="H204" s="90" t="str">
        <f t="shared" si="23"/>
        <v/>
      </c>
      <c r="I204" s="90" t="str">
        <f t="shared" si="24"/>
        <v/>
      </c>
      <c r="J204" s="90" t="str">
        <f t="shared" si="25"/>
        <v/>
      </c>
    </row>
    <row r="205" spans="2:10" x14ac:dyDescent="0.25">
      <c r="B205" s="78" t="str">
        <f t="shared" si="19"/>
        <v/>
      </c>
      <c r="C205" s="383" t="str">
        <f t="shared" si="26"/>
        <v/>
      </c>
      <c r="D205" s="90" t="str">
        <f t="shared" si="27"/>
        <v/>
      </c>
      <c r="E205" s="90" t="str">
        <f t="shared" si="20"/>
        <v/>
      </c>
      <c r="F205" s="90" t="str">
        <f t="shared" si="21"/>
        <v/>
      </c>
      <c r="G205" s="90" t="str">
        <f t="shared" si="22"/>
        <v/>
      </c>
      <c r="H205" s="90" t="str">
        <f t="shared" si="23"/>
        <v/>
      </c>
      <c r="I205" s="90" t="str">
        <f t="shared" si="24"/>
        <v/>
      </c>
      <c r="J205" s="90" t="str">
        <f t="shared" si="25"/>
        <v/>
      </c>
    </row>
    <row r="206" spans="2:10" x14ac:dyDescent="0.25">
      <c r="B206" s="78" t="str">
        <f t="shared" si="19"/>
        <v/>
      </c>
      <c r="C206" s="383" t="str">
        <f t="shared" si="26"/>
        <v/>
      </c>
      <c r="D206" s="90" t="str">
        <f t="shared" si="27"/>
        <v/>
      </c>
      <c r="E206" s="90" t="str">
        <f t="shared" si="20"/>
        <v/>
      </c>
      <c r="F206" s="90" t="str">
        <f t="shared" si="21"/>
        <v/>
      </c>
      <c r="G206" s="90" t="str">
        <f t="shared" si="22"/>
        <v/>
      </c>
      <c r="H206" s="90" t="str">
        <f t="shared" si="23"/>
        <v/>
      </c>
      <c r="I206" s="90" t="str">
        <f t="shared" si="24"/>
        <v/>
      </c>
      <c r="J206" s="90" t="str">
        <f t="shared" si="25"/>
        <v/>
      </c>
    </row>
    <row r="207" spans="2:10" x14ac:dyDescent="0.25">
      <c r="B207" s="78" t="str">
        <f t="shared" si="19"/>
        <v/>
      </c>
      <c r="C207" s="383" t="str">
        <f t="shared" si="26"/>
        <v/>
      </c>
      <c r="D207" s="90" t="str">
        <f t="shared" si="27"/>
        <v/>
      </c>
      <c r="E207" s="90" t="str">
        <f t="shared" si="20"/>
        <v/>
      </c>
      <c r="F207" s="90" t="str">
        <f t="shared" si="21"/>
        <v/>
      </c>
      <c r="G207" s="90" t="str">
        <f t="shared" si="22"/>
        <v/>
      </c>
      <c r="H207" s="90" t="str">
        <f t="shared" si="23"/>
        <v/>
      </c>
      <c r="I207" s="90" t="str">
        <f t="shared" si="24"/>
        <v/>
      </c>
      <c r="J207" s="90" t="str">
        <f t="shared" si="25"/>
        <v/>
      </c>
    </row>
    <row r="208" spans="2:10" x14ac:dyDescent="0.25">
      <c r="B208" s="78" t="str">
        <f t="shared" si="19"/>
        <v/>
      </c>
      <c r="C208" s="383" t="str">
        <f t="shared" si="26"/>
        <v/>
      </c>
      <c r="D208" s="90" t="str">
        <f t="shared" si="27"/>
        <v/>
      </c>
      <c r="E208" s="90" t="str">
        <f t="shared" si="20"/>
        <v/>
      </c>
      <c r="F208" s="90" t="str">
        <f t="shared" si="21"/>
        <v/>
      </c>
      <c r="G208" s="90" t="str">
        <f t="shared" si="22"/>
        <v/>
      </c>
      <c r="H208" s="90" t="str">
        <f t="shared" si="23"/>
        <v/>
      </c>
      <c r="I208" s="90" t="str">
        <f t="shared" si="24"/>
        <v/>
      </c>
      <c r="J208" s="90" t="str">
        <f t="shared" si="25"/>
        <v/>
      </c>
    </row>
    <row r="209" spans="2:10" x14ac:dyDescent="0.25">
      <c r="B209" s="78" t="str">
        <f t="shared" si="19"/>
        <v/>
      </c>
      <c r="C209" s="383" t="str">
        <f t="shared" si="26"/>
        <v/>
      </c>
      <c r="D209" s="90" t="str">
        <f t="shared" si="27"/>
        <v/>
      </c>
      <c r="E209" s="90" t="str">
        <f t="shared" si="20"/>
        <v/>
      </c>
      <c r="F209" s="90" t="str">
        <f t="shared" si="21"/>
        <v/>
      </c>
      <c r="G209" s="90" t="str">
        <f t="shared" si="22"/>
        <v/>
      </c>
      <c r="H209" s="90" t="str">
        <f t="shared" si="23"/>
        <v/>
      </c>
      <c r="I209" s="90" t="str">
        <f t="shared" si="24"/>
        <v/>
      </c>
      <c r="J209" s="90" t="str">
        <f t="shared" si="25"/>
        <v/>
      </c>
    </row>
    <row r="210" spans="2:10" x14ac:dyDescent="0.25">
      <c r="B210" s="78" t="str">
        <f t="shared" si="19"/>
        <v/>
      </c>
      <c r="C210" s="383" t="str">
        <f t="shared" si="26"/>
        <v/>
      </c>
      <c r="D210" s="90" t="str">
        <f t="shared" si="27"/>
        <v/>
      </c>
      <c r="E210" s="90" t="str">
        <f t="shared" si="20"/>
        <v/>
      </c>
      <c r="F210" s="90" t="str">
        <f t="shared" si="21"/>
        <v/>
      </c>
      <c r="G210" s="90" t="str">
        <f t="shared" si="22"/>
        <v/>
      </c>
      <c r="H210" s="90" t="str">
        <f t="shared" si="23"/>
        <v/>
      </c>
      <c r="I210" s="90" t="str">
        <f t="shared" si="24"/>
        <v/>
      </c>
      <c r="J210" s="90" t="str">
        <f t="shared" si="25"/>
        <v/>
      </c>
    </row>
    <row r="211" spans="2:10" x14ac:dyDescent="0.25">
      <c r="B211" s="78" t="str">
        <f t="shared" si="19"/>
        <v/>
      </c>
      <c r="C211" s="383" t="str">
        <f t="shared" si="26"/>
        <v/>
      </c>
      <c r="D211" s="90" t="str">
        <f t="shared" si="27"/>
        <v/>
      </c>
      <c r="E211" s="90" t="str">
        <f t="shared" si="20"/>
        <v/>
      </c>
      <c r="F211" s="90" t="str">
        <f t="shared" si="21"/>
        <v/>
      </c>
      <c r="G211" s="90" t="str">
        <f t="shared" si="22"/>
        <v/>
      </c>
      <c r="H211" s="90" t="str">
        <f t="shared" si="23"/>
        <v/>
      </c>
      <c r="I211" s="90" t="str">
        <f t="shared" si="24"/>
        <v/>
      </c>
      <c r="J211" s="90" t="str">
        <f t="shared" si="25"/>
        <v/>
      </c>
    </row>
    <row r="212" spans="2:10" x14ac:dyDescent="0.25">
      <c r="B212" s="78" t="str">
        <f t="shared" si="19"/>
        <v/>
      </c>
      <c r="C212" s="383" t="str">
        <f t="shared" si="26"/>
        <v/>
      </c>
      <c r="D212" s="90" t="str">
        <f t="shared" si="27"/>
        <v/>
      </c>
      <c r="E212" s="90" t="str">
        <f t="shared" si="20"/>
        <v/>
      </c>
      <c r="F212" s="90" t="str">
        <f t="shared" si="21"/>
        <v/>
      </c>
      <c r="G212" s="90" t="str">
        <f t="shared" si="22"/>
        <v/>
      </c>
      <c r="H212" s="90" t="str">
        <f t="shared" si="23"/>
        <v/>
      </c>
      <c r="I212" s="90" t="str">
        <f t="shared" si="24"/>
        <v/>
      </c>
      <c r="J212" s="90" t="str">
        <f t="shared" si="25"/>
        <v/>
      </c>
    </row>
    <row r="213" spans="2:10" x14ac:dyDescent="0.25">
      <c r="B213" s="78" t="str">
        <f t="shared" si="19"/>
        <v/>
      </c>
      <c r="C213" s="383" t="str">
        <f t="shared" si="26"/>
        <v/>
      </c>
      <c r="D213" s="90" t="str">
        <f t="shared" si="27"/>
        <v/>
      </c>
      <c r="E213" s="90" t="str">
        <f t="shared" si="20"/>
        <v/>
      </c>
      <c r="F213" s="90" t="str">
        <f t="shared" si="21"/>
        <v/>
      </c>
      <c r="G213" s="90" t="str">
        <f t="shared" si="22"/>
        <v/>
      </c>
      <c r="H213" s="90" t="str">
        <f t="shared" si="23"/>
        <v/>
      </c>
      <c r="I213" s="90" t="str">
        <f t="shared" si="24"/>
        <v/>
      </c>
      <c r="J213" s="90" t="str">
        <f t="shared" si="25"/>
        <v/>
      </c>
    </row>
    <row r="214" spans="2:10" x14ac:dyDescent="0.25">
      <c r="B214" s="78" t="str">
        <f t="shared" si="19"/>
        <v/>
      </c>
      <c r="C214" s="383" t="str">
        <f t="shared" si="26"/>
        <v/>
      </c>
      <c r="D214" s="90" t="str">
        <f t="shared" si="27"/>
        <v/>
      </c>
      <c r="E214" s="90" t="str">
        <f t="shared" si="20"/>
        <v/>
      </c>
      <c r="F214" s="90" t="str">
        <f t="shared" si="21"/>
        <v/>
      </c>
      <c r="G214" s="90" t="str">
        <f t="shared" si="22"/>
        <v/>
      </c>
      <c r="H214" s="90" t="str">
        <f t="shared" si="23"/>
        <v/>
      </c>
      <c r="I214" s="90" t="str">
        <f t="shared" si="24"/>
        <v/>
      </c>
      <c r="J214" s="90" t="str">
        <f t="shared" si="25"/>
        <v/>
      </c>
    </row>
    <row r="215" spans="2:10" x14ac:dyDescent="0.25">
      <c r="B215" s="78" t="str">
        <f t="shared" ref="B215:B278" si="28">IF(OR(ISERROR(IF(B214+1&lt;=$E$13,B214+1,"")),J214&lt;=0),"",IF(B214+1&lt;=$E$13,B214+1,""))</f>
        <v/>
      </c>
      <c r="C215" s="383" t="str">
        <f t="shared" si="26"/>
        <v/>
      </c>
      <c r="D215" s="90" t="str">
        <f t="shared" si="27"/>
        <v/>
      </c>
      <c r="E215" s="90" t="str">
        <f t="shared" ref="E215:E278" si="29">IF(B215&lt;&gt;"",$E$12,"")</f>
        <v/>
      </c>
      <c r="F215" s="90" t="str">
        <f t="shared" ref="F215:F278" si="30">IF(B215&lt;&gt;"",$E$9,"")</f>
        <v/>
      </c>
      <c r="G215" s="90" t="str">
        <f t="shared" ref="G215:G278" si="31">IF(B215&lt;&gt;"",E215+F215,"")</f>
        <v/>
      </c>
      <c r="H215" s="90" t="str">
        <f t="shared" ref="H215:H278" si="32">IF(B215&lt;&gt;"",E215+F215-I215,"")</f>
        <v/>
      </c>
      <c r="I215" s="90" t="str">
        <f t="shared" ref="I215:I278" si="33">IF(B215&lt;&gt;"",D215*$E$6/12,"")</f>
        <v/>
      </c>
      <c r="J215" s="90" t="str">
        <f t="shared" ref="J215:J278" si="34">IF(B215&lt;&gt;"",D215-H215,"")</f>
        <v/>
      </c>
    </row>
    <row r="216" spans="2:10" x14ac:dyDescent="0.25">
      <c r="B216" s="78" t="str">
        <f t="shared" si="28"/>
        <v/>
      </c>
      <c r="C216" s="383" t="str">
        <f t="shared" ref="C216:C279" si="35">IF(B216&lt;&gt;"",DATE(YEAR(C215),MONTH(C215)+1,DAY(C215)),"")</f>
        <v/>
      </c>
      <c r="D216" s="90" t="str">
        <f t="shared" ref="D216:D279" si="36">IF(B216&lt;&gt;"",J215,"")</f>
        <v/>
      </c>
      <c r="E216" s="90" t="str">
        <f t="shared" si="29"/>
        <v/>
      </c>
      <c r="F216" s="90" t="str">
        <f t="shared" si="30"/>
        <v/>
      </c>
      <c r="G216" s="90" t="str">
        <f t="shared" si="31"/>
        <v/>
      </c>
      <c r="H216" s="90" t="str">
        <f t="shared" si="32"/>
        <v/>
      </c>
      <c r="I216" s="90" t="str">
        <f t="shared" si="33"/>
        <v/>
      </c>
      <c r="J216" s="90" t="str">
        <f t="shared" si="34"/>
        <v/>
      </c>
    </row>
    <row r="217" spans="2:10" x14ac:dyDescent="0.25">
      <c r="B217" s="78" t="str">
        <f t="shared" si="28"/>
        <v/>
      </c>
      <c r="C217" s="383" t="str">
        <f t="shared" si="35"/>
        <v/>
      </c>
      <c r="D217" s="90" t="str">
        <f t="shared" si="36"/>
        <v/>
      </c>
      <c r="E217" s="90" t="str">
        <f t="shared" si="29"/>
        <v/>
      </c>
      <c r="F217" s="90" t="str">
        <f t="shared" si="30"/>
        <v/>
      </c>
      <c r="G217" s="90" t="str">
        <f t="shared" si="31"/>
        <v/>
      </c>
      <c r="H217" s="90" t="str">
        <f t="shared" si="32"/>
        <v/>
      </c>
      <c r="I217" s="90" t="str">
        <f t="shared" si="33"/>
        <v/>
      </c>
      <c r="J217" s="90" t="str">
        <f t="shared" si="34"/>
        <v/>
      </c>
    </row>
    <row r="218" spans="2:10" x14ac:dyDescent="0.25">
      <c r="B218" s="78" t="str">
        <f t="shared" si="28"/>
        <v/>
      </c>
      <c r="C218" s="383" t="str">
        <f t="shared" si="35"/>
        <v/>
      </c>
      <c r="D218" s="90" t="str">
        <f t="shared" si="36"/>
        <v/>
      </c>
      <c r="E218" s="90" t="str">
        <f t="shared" si="29"/>
        <v/>
      </c>
      <c r="F218" s="90" t="str">
        <f t="shared" si="30"/>
        <v/>
      </c>
      <c r="G218" s="90" t="str">
        <f t="shared" si="31"/>
        <v/>
      </c>
      <c r="H218" s="90" t="str">
        <f t="shared" si="32"/>
        <v/>
      </c>
      <c r="I218" s="90" t="str">
        <f t="shared" si="33"/>
        <v/>
      </c>
      <c r="J218" s="90" t="str">
        <f t="shared" si="34"/>
        <v/>
      </c>
    </row>
    <row r="219" spans="2:10" x14ac:dyDescent="0.25">
      <c r="B219" s="78" t="str">
        <f t="shared" si="28"/>
        <v/>
      </c>
      <c r="C219" s="383" t="str">
        <f t="shared" si="35"/>
        <v/>
      </c>
      <c r="D219" s="90" t="str">
        <f t="shared" si="36"/>
        <v/>
      </c>
      <c r="E219" s="90" t="str">
        <f t="shared" si="29"/>
        <v/>
      </c>
      <c r="F219" s="90" t="str">
        <f t="shared" si="30"/>
        <v/>
      </c>
      <c r="G219" s="90" t="str">
        <f t="shared" si="31"/>
        <v/>
      </c>
      <c r="H219" s="90" t="str">
        <f t="shared" si="32"/>
        <v/>
      </c>
      <c r="I219" s="90" t="str">
        <f t="shared" si="33"/>
        <v/>
      </c>
      <c r="J219" s="90" t="str">
        <f t="shared" si="34"/>
        <v/>
      </c>
    </row>
    <row r="220" spans="2:10" x14ac:dyDescent="0.25">
      <c r="B220" s="78" t="str">
        <f t="shared" si="28"/>
        <v/>
      </c>
      <c r="C220" s="383" t="str">
        <f t="shared" si="35"/>
        <v/>
      </c>
      <c r="D220" s="90" t="str">
        <f t="shared" si="36"/>
        <v/>
      </c>
      <c r="E220" s="90" t="str">
        <f t="shared" si="29"/>
        <v/>
      </c>
      <c r="F220" s="90" t="str">
        <f t="shared" si="30"/>
        <v/>
      </c>
      <c r="G220" s="90" t="str">
        <f t="shared" si="31"/>
        <v/>
      </c>
      <c r="H220" s="90" t="str">
        <f t="shared" si="32"/>
        <v/>
      </c>
      <c r="I220" s="90" t="str">
        <f t="shared" si="33"/>
        <v/>
      </c>
      <c r="J220" s="90" t="str">
        <f t="shared" si="34"/>
        <v/>
      </c>
    </row>
    <row r="221" spans="2:10" x14ac:dyDescent="0.25">
      <c r="B221" s="78" t="str">
        <f t="shared" si="28"/>
        <v/>
      </c>
      <c r="C221" s="383" t="str">
        <f t="shared" si="35"/>
        <v/>
      </c>
      <c r="D221" s="90" t="str">
        <f t="shared" si="36"/>
        <v/>
      </c>
      <c r="E221" s="90" t="str">
        <f t="shared" si="29"/>
        <v/>
      </c>
      <c r="F221" s="90" t="str">
        <f t="shared" si="30"/>
        <v/>
      </c>
      <c r="G221" s="90" t="str">
        <f t="shared" si="31"/>
        <v/>
      </c>
      <c r="H221" s="90" t="str">
        <f t="shared" si="32"/>
        <v/>
      </c>
      <c r="I221" s="90" t="str">
        <f t="shared" si="33"/>
        <v/>
      </c>
      <c r="J221" s="90" t="str">
        <f t="shared" si="34"/>
        <v/>
      </c>
    </row>
    <row r="222" spans="2:10" x14ac:dyDescent="0.25">
      <c r="B222" s="78" t="str">
        <f t="shared" si="28"/>
        <v/>
      </c>
      <c r="C222" s="383" t="str">
        <f t="shared" si="35"/>
        <v/>
      </c>
      <c r="D222" s="90" t="str">
        <f t="shared" si="36"/>
        <v/>
      </c>
      <c r="E222" s="90" t="str">
        <f t="shared" si="29"/>
        <v/>
      </c>
      <c r="F222" s="90" t="str">
        <f t="shared" si="30"/>
        <v/>
      </c>
      <c r="G222" s="90" t="str">
        <f t="shared" si="31"/>
        <v/>
      </c>
      <c r="H222" s="90" t="str">
        <f t="shared" si="32"/>
        <v/>
      </c>
      <c r="I222" s="90" t="str">
        <f t="shared" si="33"/>
        <v/>
      </c>
      <c r="J222" s="90" t="str">
        <f t="shared" si="34"/>
        <v/>
      </c>
    </row>
    <row r="223" spans="2:10" x14ac:dyDescent="0.25">
      <c r="B223" s="78" t="str">
        <f t="shared" si="28"/>
        <v/>
      </c>
      <c r="C223" s="383" t="str">
        <f t="shared" si="35"/>
        <v/>
      </c>
      <c r="D223" s="90" t="str">
        <f t="shared" si="36"/>
        <v/>
      </c>
      <c r="E223" s="90" t="str">
        <f t="shared" si="29"/>
        <v/>
      </c>
      <c r="F223" s="90" t="str">
        <f t="shared" si="30"/>
        <v/>
      </c>
      <c r="G223" s="90" t="str">
        <f t="shared" si="31"/>
        <v/>
      </c>
      <c r="H223" s="90" t="str">
        <f t="shared" si="32"/>
        <v/>
      </c>
      <c r="I223" s="90" t="str">
        <f t="shared" si="33"/>
        <v/>
      </c>
      <c r="J223" s="90" t="str">
        <f t="shared" si="34"/>
        <v/>
      </c>
    </row>
    <row r="224" spans="2:10" x14ac:dyDescent="0.25">
      <c r="B224" s="78" t="str">
        <f t="shared" si="28"/>
        <v/>
      </c>
      <c r="C224" s="383" t="str">
        <f t="shared" si="35"/>
        <v/>
      </c>
      <c r="D224" s="90" t="str">
        <f t="shared" si="36"/>
        <v/>
      </c>
      <c r="E224" s="90" t="str">
        <f t="shared" si="29"/>
        <v/>
      </c>
      <c r="F224" s="90" t="str">
        <f t="shared" si="30"/>
        <v/>
      </c>
      <c r="G224" s="90" t="str">
        <f t="shared" si="31"/>
        <v/>
      </c>
      <c r="H224" s="90" t="str">
        <f t="shared" si="32"/>
        <v/>
      </c>
      <c r="I224" s="90" t="str">
        <f t="shared" si="33"/>
        <v/>
      </c>
      <c r="J224" s="90" t="str">
        <f t="shared" si="34"/>
        <v/>
      </c>
    </row>
    <row r="225" spans="2:10" x14ac:dyDescent="0.25">
      <c r="B225" s="78" t="str">
        <f t="shared" si="28"/>
        <v/>
      </c>
      <c r="C225" s="383" t="str">
        <f t="shared" si="35"/>
        <v/>
      </c>
      <c r="D225" s="90" t="str">
        <f t="shared" si="36"/>
        <v/>
      </c>
      <c r="E225" s="90" t="str">
        <f t="shared" si="29"/>
        <v/>
      </c>
      <c r="F225" s="90" t="str">
        <f t="shared" si="30"/>
        <v/>
      </c>
      <c r="G225" s="90" t="str">
        <f t="shared" si="31"/>
        <v/>
      </c>
      <c r="H225" s="90" t="str">
        <f t="shared" si="32"/>
        <v/>
      </c>
      <c r="I225" s="90" t="str">
        <f t="shared" si="33"/>
        <v/>
      </c>
      <c r="J225" s="90" t="str">
        <f t="shared" si="34"/>
        <v/>
      </c>
    </row>
    <row r="226" spans="2:10" x14ac:dyDescent="0.25">
      <c r="B226" s="78" t="str">
        <f t="shared" si="28"/>
        <v/>
      </c>
      <c r="C226" s="383" t="str">
        <f t="shared" si="35"/>
        <v/>
      </c>
      <c r="D226" s="90" t="str">
        <f t="shared" si="36"/>
        <v/>
      </c>
      <c r="E226" s="90" t="str">
        <f t="shared" si="29"/>
        <v/>
      </c>
      <c r="F226" s="90" t="str">
        <f t="shared" si="30"/>
        <v/>
      </c>
      <c r="G226" s="90" t="str">
        <f t="shared" si="31"/>
        <v/>
      </c>
      <c r="H226" s="90" t="str">
        <f t="shared" si="32"/>
        <v/>
      </c>
      <c r="I226" s="90" t="str">
        <f t="shared" si="33"/>
        <v/>
      </c>
      <c r="J226" s="90" t="str">
        <f t="shared" si="34"/>
        <v/>
      </c>
    </row>
    <row r="227" spans="2:10" x14ac:dyDescent="0.25">
      <c r="B227" s="78" t="str">
        <f t="shared" si="28"/>
        <v/>
      </c>
      <c r="C227" s="383" t="str">
        <f t="shared" si="35"/>
        <v/>
      </c>
      <c r="D227" s="90" t="str">
        <f t="shared" si="36"/>
        <v/>
      </c>
      <c r="E227" s="90" t="str">
        <f t="shared" si="29"/>
        <v/>
      </c>
      <c r="F227" s="90" t="str">
        <f t="shared" si="30"/>
        <v/>
      </c>
      <c r="G227" s="90" t="str">
        <f t="shared" si="31"/>
        <v/>
      </c>
      <c r="H227" s="90" t="str">
        <f t="shared" si="32"/>
        <v/>
      </c>
      <c r="I227" s="90" t="str">
        <f t="shared" si="33"/>
        <v/>
      </c>
      <c r="J227" s="90" t="str">
        <f t="shared" si="34"/>
        <v/>
      </c>
    </row>
    <row r="228" spans="2:10" x14ac:dyDescent="0.25">
      <c r="B228" s="78" t="str">
        <f t="shared" si="28"/>
        <v/>
      </c>
      <c r="C228" s="383" t="str">
        <f t="shared" si="35"/>
        <v/>
      </c>
      <c r="D228" s="90" t="str">
        <f t="shared" si="36"/>
        <v/>
      </c>
      <c r="E228" s="90" t="str">
        <f t="shared" si="29"/>
        <v/>
      </c>
      <c r="F228" s="90" t="str">
        <f t="shared" si="30"/>
        <v/>
      </c>
      <c r="G228" s="90" t="str">
        <f t="shared" si="31"/>
        <v/>
      </c>
      <c r="H228" s="90" t="str">
        <f t="shared" si="32"/>
        <v/>
      </c>
      <c r="I228" s="90" t="str">
        <f t="shared" si="33"/>
        <v/>
      </c>
      <c r="J228" s="90" t="str">
        <f t="shared" si="34"/>
        <v/>
      </c>
    </row>
    <row r="229" spans="2:10" x14ac:dyDescent="0.25">
      <c r="B229" s="78" t="str">
        <f t="shared" si="28"/>
        <v/>
      </c>
      <c r="C229" s="383" t="str">
        <f t="shared" si="35"/>
        <v/>
      </c>
      <c r="D229" s="90" t="str">
        <f t="shared" si="36"/>
        <v/>
      </c>
      <c r="E229" s="90" t="str">
        <f t="shared" si="29"/>
        <v/>
      </c>
      <c r="F229" s="90" t="str">
        <f t="shared" si="30"/>
        <v/>
      </c>
      <c r="G229" s="90" t="str">
        <f t="shared" si="31"/>
        <v/>
      </c>
      <c r="H229" s="90" t="str">
        <f t="shared" si="32"/>
        <v/>
      </c>
      <c r="I229" s="90" t="str">
        <f t="shared" si="33"/>
        <v/>
      </c>
      <c r="J229" s="90" t="str">
        <f t="shared" si="34"/>
        <v/>
      </c>
    </row>
    <row r="230" spans="2:10" x14ac:dyDescent="0.25">
      <c r="B230" s="78" t="str">
        <f t="shared" si="28"/>
        <v/>
      </c>
      <c r="C230" s="383" t="str">
        <f t="shared" si="35"/>
        <v/>
      </c>
      <c r="D230" s="90" t="str">
        <f t="shared" si="36"/>
        <v/>
      </c>
      <c r="E230" s="90" t="str">
        <f t="shared" si="29"/>
        <v/>
      </c>
      <c r="F230" s="90" t="str">
        <f t="shared" si="30"/>
        <v/>
      </c>
      <c r="G230" s="90" t="str">
        <f t="shared" si="31"/>
        <v/>
      </c>
      <c r="H230" s="90" t="str">
        <f t="shared" si="32"/>
        <v/>
      </c>
      <c r="I230" s="90" t="str">
        <f t="shared" si="33"/>
        <v/>
      </c>
      <c r="J230" s="90" t="str">
        <f t="shared" si="34"/>
        <v/>
      </c>
    </row>
    <row r="231" spans="2:10" x14ac:dyDescent="0.25">
      <c r="B231" s="78" t="str">
        <f t="shared" si="28"/>
        <v/>
      </c>
      <c r="C231" s="383" t="str">
        <f t="shared" si="35"/>
        <v/>
      </c>
      <c r="D231" s="90" t="str">
        <f t="shared" si="36"/>
        <v/>
      </c>
      <c r="E231" s="90" t="str">
        <f t="shared" si="29"/>
        <v/>
      </c>
      <c r="F231" s="90" t="str">
        <f t="shared" si="30"/>
        <v/>
      </c>
      <c r="G231" s="90" t="str">
        <f t="shared" si="31"/>
        <v/>
      </c>
      <c r="H231" s="90" t="str">
        <f t="shared" si="32"/>
        <v/>
      </c>
      <c r="I231" s="90" t="str">
        <f t="shared" si="33"/>
        <v/>
      </c>
      <c r="J231" s="90" t="str">
        <f t="shared" si="34"/>
        <v/>
      </c>
    </row>
    <row r="232" spans="2:10" x14ac:dyDescent="0.25">
      <c r="B232" s="78" t="str">
        <f t="shared" si="28"/>
        <v/>
      </c>
      <c r="C232" s="383" t="str">
        <f t="shared" si="35"/>
        <v/>
      </c>
      <c r="D232" s="90" t="str">
        <f t="shared" si="36"/>
        <v/>
      </c>
      <c r="E232" s="90" t="str">
        <f t="shared" si="29"/>
        <v/>
      </c>
      <c r="F232" s="90" t="str">
        <f t="shared" si="30"/>
        <v/>
      </c>
      <c r="G232" s="90" t="str">
        <f t="shared" si="31"/>
        <v/>
      </c>
      <c r="H232" s="90" t="str">
        <f t="shared" si="32"/>
        <v/>
      </c>
      <c r="I232" s="90" t="str">
        <f t="shared" si="33"/>
        <v/>
      </c>
      <c r="J232" s="90" t="str">
        <f t="shared" si="34"/>
        <v/>
      </c>
    </row>
    <row r="233" spans="2:10" x14ac:dyDescent="0.25">
      <c r="B233" s="78" t="str">
        <f t="shared" si="28"/>
        <v/>
      </c>
      <c r="C233" s="383" t="str">
        <f t="shared" si="35"/>
        <v/>
      </c>
      <c r="D233" s="90" t="str">
        <f t="shared" si="36"/>
        <v/>
      </c>
      <c r="E233" s="90" t="str">
        <f t="shared" si="29"/>
        <v/>
      </c>
      <c r="F233" s="90" t="str">
        <f t="shared" si="30"/>
        <v/>
      </c>
      <c r="G233" s="90" t="str">
        <f t="shared" si="31"/>
        <v/>
      </c>
      <c r="H233" s="90" t="str">
        <f t="shared" si="32"/>
        <v/>
      </c>
      <c r="I233" s="90" t="str">
        <f t="shared" si="33"/>
        <v/>
      </c>
      <c r="J233" s="90" t="str">
        <f t="shared" si="34"/>
        <v/>
      </c>
    </row>
    <row r="234" spans="2:10" x14ac:dyDescent="0.25">
      <c r="B234" s="78" t="str">
        <f t="shared" si="28"/>
        <v/>
      </c>
      <c r="C234" s="383" t="str">
        <f t="shared" si="35"/>
        <v/>
      </c>
      <c r="D234" s="90" t="str">
        <f t="shared" si="36"/>
        <v/>
      </c>
      <c r="E234" s="90" t="str">
        <f t="shared" si="29"/>
        <v/>
      </c>
      <c r="F234" s="90" t="str">
        <f t="shared" si="30"/>
        <v/>
      </c>
      <c r="G234" s="90" t="str">
        <f t="shared" si="31"/>
        <v/>
      </c>
      <c r="H234" s="90" t="str">
        <f t="shared" si="32"/>
        <v/>
      </c>
      <c r="I234" s="90" t="str">
        <f t="shared" si="33"/>
        <v/>
      </c>
      <c r="J234" s="90" t="str">
        <f t="shared" si="34"/>
        <v/>
      </c>
    </row>
    <row r="235" spans="2:10" x14ac:dyDescent="0.25">
      <c r="B235" s="78" t="str">
        <f t="shared" si="28"/>
        <v/>
      </c>
      <c r="C235" s="383" t="str">
        <f t="shared" si="35"/>
        <v/>
      </c>
      <c r="D235" s="90" t="str">
        <f t="shared" si="36"/>
        <v/>
      </c>
      <c r="E235" s="90" t="str">
        <f t="shared" si="29"/>
        <v/>
      </c>
      <c r="F235" s="90" t="str">
        <f t="shared" si="30"/>
        <v/>
      </c>
      <c r="G235" s="90" t="str">
        <f t="shared" si="31"/>
        <v/>
      </c>
      <c r="H235" s="90" t="str">
        <f t="shared" si="32"/>
        <v/>
      </c>
      <c r="I235" s="90" t="str">
        <f t="shared" si="33"/>
        <v/>
      </c>
      <c r="J235" s="90" t="str">
        <f t="shared" si="34"/>
        <v/>
      </c>
    </row>
    <row r="236" spans="2:10" x14ac:dyDescent="0.25">
      <c r="B236" s="78" t="str">
        <f t="shared" si="28"/>
        <v/>
      </c>
      <c r="C236" s="383" t="str">
        <f t="shared" si="35"/>
        <v/>
      </c>
      <c r="D236" s="90" t="str">
        <f t="shared" si="36"/>
        <v/>
      </c>
      <c r="E236" s="90" t="str">
        <f t="shared" si="29"/>
        <v/>
      </c>
      <c r="F236" s="90" t="str">
        <f t="shared" si="30"/>
        <v/>
      </c>
      <c r="G236" s="90" t="str">
        <f t="shared" si="31"/>
        <v/>
      </c>
      <c r="H236" s="90" t="str">
        <f t="shared" si="32"/>
        <v/>
      </c>
      <c r="I236" s="90" t="str">
        <f t="shared" si="33"/>
        <v/>
      </c>
      <c r="J236" s="90" t="str">
        <f t="shared" si="34"/>
        <v/>
      </c>
    </row>
    <row r="237" spans="2:10" x14ac:dyDescent="0.25">
      <c r="B237" s="78" t="str">
        <f t="shared" si="28"/>
        <v/>
      </c>
      <c r="C237" s="383" t="str">
        <f t="shared" si="35"/>
        <v/>
      </c>
      <c r="D237" s="90" t="str">
        <f t="shared" si="36"/>
        <v/>
      </c>
      <c r="E237" s="90" t="str">
        <f t="shared" si="29"/>
        <v/>
      </c>
      <c r="F237" s="90" t="str">
        <f t="shared" si="30"/>
        <v/>
      </c>
      <c r="G237" s="90" t="str">
        <f t="shared" si="31"/>
        <v/>
      </c>
      <c r="H237" s="90" t="str">
        <f t="shared" si="32"/>
        <v/>
      </c>
      <c r="I237" s="90" t="str">
        <f t="shared" si="33"/>
        <v/>
      </c>
      <c r="J237" s="90" t="str">
        <f t="shared" si="34"/>
        <v/>
      </c>
    </row>
    <row r="238" spans="2:10" x14ac:dyDescent="0.25">
      <c r="B238" s="78" t="str">
        <f t="shared" si="28"/>
        <v/>
      </c>
      <c r="C238" s="383" t="str">
        <f t="shared" si="35"/>
        <v/>
      </c>
      <c r="D238" s="90" t="str">
        <f t="shared" si="36"/>
        <v/>
      </c>
      <c r="E238" s="90" t="str">
        <f t="shared" si="29"/>
        <v/>
      </c>
      <c r="F238" s="90" t="str">
        <f t="shared" si="30"/>
        <v/>
      </c>
      <c r="G238" s="90" t="str">
        <f t="shared" si="31"/>
        <v/>
      </c>
      <c r="H238" s="90" t="str">
        <f t="shared" si="32"/>
        <v/>
      </c>
      <c r="I238" s="90" t="str">
        <f t="shared" si="33"/>
        <v/>
      </c>
      <c r="J238" s="90" t="str">
        <f t="shared" si="34"/>
        <v/>
      </c>
    </row>
    <row r="239" spans="2:10" x14ac:dyDescent="0.25">
      <c r="B239" s="78" t="str">
        <f t="shared" si="28"/>
        <v/>
      </c>
      <c r="C239" s="383" t="str">
        <f t="shared" si="35"/>
        <v/>
      </c>
      <c r="D239" s="90" t="str">
        <f t="shared" si="36"/>
        <v/>
      </c>
      <c r="E239" s="90" t="str">
        <f t="shared" si="29"/>
        <v/>
      </c>
      <c r="F239" s="90" t="str">
        <f t="shared" si="30"/>
        <v/>
      </c>
      <c r="G239" s="90" t="str">
        <f t="shared" si="31"/>
        <v/>
      </c>
      <c r="H239" s="90" t="str">
        <f t="shared" si="32"/>
        <v/>
      </c>
      <c r="I239" s="90" t="str">
        <f t="shared" si="33"/>
        <v/>
      </c>
      <c r="J239" s="90" t="str">
        <f t="shared" si="34"/>
        <v/>
      </c>
    </row>
    <row r="240" spans="2:10" x14ac:dyDescent="0.25">
      <c r="B240" s="78" t="str">
        <f t="shared" si="28"/>
        <v/>
      </c>
      <c r="C240" s="383" t="str">
        <f t="shared" si="35"/>
        <v/>
      </c>
      <c r="D240" s="90" t="str">
        <f t="shared" si="36"/>
        <v/>
      </c>
      <c r="E240" s="90" t="str">
        <f t="shared" si="29"/>
        <v/>
      </c>
      <c r="F240" s="90" t="str">
        <f t="shared" si="30"/>
        <v/>
      </c>
      <c r="G240" s="90" t="str">
        <f t="shared" si="31"/>
        <v/>
      </c>
      <c r="H240" s="90" t="str">
        <f t="shared" si="32"/>
        <v/>
      </c>
      <c r="I240" s="90" t="str">
        <f t="shared" si="33"/>
        <v/>
      </c>
      <c r="J240" s="90" t="str">
        <f t="shared" si="34"/>
        <v/>
      </c>
    </row>
    <row r="241" spans="2:10" x14ac:dyDescent="0.25">
      <c r="B241" s="78" t="str">
        <f t="shared" si="28"/>
        <v/>
      </c>
      <c r="C241" s="383" t="str">
        <f t="shared" si="35"/>
        <v/>
      </c>
      <c r="D241" s="90" t="str">
        <f t="shared" si="36"/>
        <v/>
      </c>
      <c r="E241" s="90" t="str">
        <f t="shared" si="29"/>
        <v/>
      </c>
      <c r="F241" s="90" t="str">
        <f t="shared" si="30"/>
        <v/>
      </c>
      <c r="G241" s="90" t="str">
        <f t="shared" si="31"/>
        <v/>
      </c>
      <c r="H241" s="90" t="str">
        <f t="shared" si="32"/>
        <v/>
      </c>
      <c r="I241" s="90" t="str">
        <f t="shared" si="33"/>
        <v/>
      </c>
      <c r="J241" s="90" t="str">
        <f t="shared" si="34"/>
        <v/>
      </c>
    </row>
    <row r="242" spans="2:10" x14ac:dyDescent="0.25">
      <c r="B242" s="78" t="str">
        <f t="shared" si="28"/>
        <v/>
      </c>
      <c r="C242" s="383" t="str">
        <f t="shared" si="35"/>
        <v/>
      </c>
      <c r="D242" s="90" t="str">
        <f t="shared" si="36"/>
        <v/>
      </c>
      <c r="E242" s="90" t="str">
        <f t="shared" si="29"/>
        <v/>
      </c>
      <c r="F242" s="90" t="str">
        <f t="shared" si="30"/>
        <v/>
      </c>
      <c r="G242" s="90" t="str">
        <f t="shared" si="31"/>
        <v/>
      </c>
      <c r="H242" s="90" t="str">
        <f t="shared" si="32"/>
        <v/>
      </c>
      <c r="I242" s="90" t="str">
        <f t="shared" si="33"/>
        <v/>
      </c>
      <c r="J242" s="90" t="str">
        <f t="shared" si="34"/>
        <v/>
      </c>
    </row>
    <row r="243" spans="2:10" x14ac:dyDescent="0.25">
      <c r="B243" s="78" t="str">
        <f t="shared" si="28"/>
        <v/>
      </c>
      <c r="C243" s="383" t="str">
        <f t="shared" si="35"/>
        <v/>
      </c>
      <c r="D243" s="90" t="str">
        <f t="shared" si="36"/>
        <v/>
      </c>
      <c r="E243" s="90" t="str">
        <f t="shared" si="29"/>
        <v/>
      </c>
      <c r="F243" s="90" t="str">
        <f t="shared" si="30"/>
        <v/>
      </c>
      <c r="G243" s="90" t="str">
        <f t="shared" si="31"/>
        <v/>
      </c>
      <c r="H243" s="90" t="str">
        <f t="shared" si="32"/>
        <v/>
      </c>
      <c r="I243" s="90" t="str">
        <f t="shared" si="33"/>
        <v/>
      </c>
      <c r="J243" s="90" t="str">
        <f t="shared" si="34"/>
        <v/>
      </c>
    </row>
    <row r="244" spans="2:10" x14ac:dyDescent="0.25">
      <c r="B244" s="78" t="str">
        <f t="shared" si="28"/>
        <v/>
      </c>
      <c r="C244" s="383" t="str">
        <f t="shared" si="35"/>
        <v/>
      </c>
      <c r="D244" s="90" t="str">
        <f t="shared" si="36"/>
        <v/>
      </c>
      <c r="E244" s="90" t="str">
        <f t="shared" si="29"/>
        <v/>
      </c>
      <c r="F244" s="90" t="str">
        <f t="shared" si="30"/>
        <v/>
      </c>
      <c r="G244" s="90" t="str">
        <f t="shared" si="31"/>
        <v/>
      </c>
      <c r="H244" s="90" t="str">
        <f t="shared" si="32"/>
        <v/>
      </c>
      <c r="I244" s="90" t="str">
        <f t="shared" si="33"/>
        <v/>
      </c>
      <c r="J244" s="90" t="str">
        <f t="shared" si="34"/>
        <v/>
      </c>
    </row>
    <row r="245" spans="2:10" x14ac:dyDescent="0.25">
      <c r="B245" s="78" t="str">
        <f t="shared" si="28"/>
        <v/>
      </c>
      <c r="C245" s="383" t="str">
        <f t="shared" si="35"/>
        <v/>
      </c>
      <c r="D245" s="90" t="str">
        <f t="shared" si="36"/>
        <v/>
      </c>
      <c r="E245" s="90" t="str">
        <f t="shared" si="29"/>
        <v/>
      </c>
      <c r="F245" s="90" t="str">
        <f t="shared" si="30"/>
        <v/>
      </c>
      <c r="G245" s="90" t="str">
        <f t="shared" si="31"/>
        <v/>
      </c>
      <c r="H245" s="90" t="str">
        <f t="shared" si="32"/>
        <v/>
      </c>
      <c r="I245" s="90" t="str">
        <f t="shared" si="33"/>
        <v/>
      </c>
      <c r="J245" s="90" t="str">
        <f t="shared" si="34"/>
        <v/>
      </c>
    </row>
    <row r="246" spans="2:10" x14ac:dyDescent="0.25">
      <c r="B246" s="78" t="str">
        <f t="shared" si="28"/>
        <v/>
      </c>
      <c r="C246" s="383" t="str">
        <f t="shared" si="35"/>
        <v/>
      </c>
      <c r="D246" s="90" t="str">
        <f t="shared" si="36"/>
        <v/>
      </c>
      <c r="E246" s="90" t="str">
        <f t="shared" si="29"/>
        <v/>
      </c>
      <c r="F246" s="90" t="str">
        <f t="shared" si="30"/>
        <v/>
      </c>
      <c r="G246" s="90" t="str">
        <f t="shared" si="31"/>
        <v/>
      </c>
      <c r="H246" s="90" t="str">
        <f t="shared" si="32"/>
        <v/>
      </c>
      <c r="I246" s="90" t="str">
        <f t="shared" si="33"/>
        <v/>
      </c>
      <c r="J246" s="90" t="str">
        <f t="shared" si="34"/>
        <v/>
      </c>
    </row>
    <row r="247" spans="2:10" x14ac:dyDescent="0.25">
      <c r="B247" s="78" t="str">
        <f t="shared" si="28"/>
        <v/>
      </c>
      <c r="C247" s="383" t="str">
        <f t="shared" si="35"/>
        <v/>
      </c>
      <c r="D247" s="90" t="str">
        <f t="shared" si="36"/>
        <v/>
      </c>
      <c r="E247" s="90" t="str">
        <f t="shared" si="29"/>
        <v/>
      </c>
      <c r="F247" s="90" t="str">
        <f t="shared" si="30"/>
        <v/>
      </c>
      <c r="G247" s="90" t="str">
        <f t="shared" si="31"/>
        <v/>
      </c>
      <c r="H247" s="90" t="str">
        <f t="shared" si="32"/>
        <v/>
      </c>
      <c r="I247" s="90" t="str">
        <f t="shared" si="33"/>
        <v/>
      </c>
      <c r="J247" s="90" t="str">
        <f t="shared" si="34"/>
        <v/>
      </c>
    </row>
    <row r="248" spans="2:10" x14ac:dyDescent="0.25">
      <c r="B248" s="78" t="str">
        <f t="shared" si="28"/>
        <v/>
      </c>
      <c r="C248" s="383" t="str">
        <f t="shared" si="35"/>
        <v/>
      </c>
      <c r="D248" s="90" t="str">
        <f t="shared" si="36"/>
        <v/>
      </c>
      <c r="E248" s="90" t="str">
        <f t="shared" si="29"/>
        <v/>
      </c>
      <c r="F248" s="90" t="str">
        <f t="shared" si="30"/>
        <v/>
      </c>
      <c r="G248" s="90" t="str">
        <f t="shared" si="31"/>
        <v/>
      </c>
      <c r="H248" s="90" t="str">
        <f t="shared" si="32"/>
        <v/>
      </c>
      <c r="I248" s="90" t="str">
        <f t="shared" si="33"/>
        <v/>
      </c>
      <c r="J248" s="90" t="str">
        <f t="shared" si="34"/>
        <v/>
      </c>
    </row>
    <row r="249" spans="2:10" x14ac:dyDescent="0.25">
      <c r="B249" s="78" t="str">
        <f t="shared" si="28"/>
        <v/>
      </c>
      <c r="C249" s="383" t="str">
        <f t="shared" si="35"/>
        <v/>
      </c>
      <c r="D249" s="90" t="str">
        <f t="shared" si="36"/>
        <v/>
      </c>
      <c r="E249" s="90" t="str">
        <f t="shared" si="29"/>
        <v/>
      </c>
      <c r="F249" s="90" t="str">
        <f t="shared" si="30"/>
        <v/>
      </c>
      <c r="G249" s="90" t="str">
        <f t="shared" si="31"/>
        <v/>
      </c>
      <c r="H249" s="90" t="str">
        <f t="shared" si="32"/>
        <v/>
      </c>
      <c r="I249" s="90" t="str">
        <f t="shared" si="33"/>
        <v/>
      </c>
      <c r="J249" s="90" t="str">
        <f t="shared" si="34"/>
        <v/>
      </c>
    </row>
    <row r="250" spans="2:10" x14ac:dyDescent="0.25">
      <c r="B250" s="78" t="str">
        <f t="shared" si="28"/>
        <v/>
      </c>
      <c r="C250" s="383" t="str">
        <f t="shared" si="35"/>
        <v/>
      </c>
      <c r="D250" s="90" t="str">
        <f t="shared" si="36"/>
        <v/>
      </c>
      <c r="E250" s="90" t="str">
        <f t="shared" si="29"/>
        <v/>
      </c>
      <c r="F250" s="90" t="str">
        <f t="shared" si="30"/>
        <v/>
      </c>
      <c r="G250" s="90" t="str">
        <f t="shared" si="31"/>
        <v/>
      </c>
      <c r="H250" s="90" t="str">
        <f t="shared" si="32"/>
        <v/>
      </c>
      <c r="I250" s="90" t="str">
        <f t="shared" si="33"/>
        <v/>
      </c>
      <c r="J250" s="90" t="str">
        <f t="shared" si="34"/>
        <v/>
      </c>
    </row>
    <row r="251" spans="2:10" x14ac:dyDescent="0.25">
      <c r="B251" s="78" t="str">
        <f t="shared" si="28"/>
        <v/>
      </c>
      <c r="C251" s="383" t="str">
        <f t="shared" si="35"/>
        <v/>
      </c>
      <c r="D251" s="90" t="str">
        <f t="shared" si="36"/>
        <v/>
      </c>
      <c r="E251" s="90" t="str">
        <f t="shared" si="29"/>
        <v/>
      </c>
      <c r="F251" s="90" t="str">
        <f t="shared" si="30"/>
        <v/>
      </c>
      <c r="G251" s="90" t="str">
        <f t="shared" si="31"/>
        <v/>
      </c>
      <c r="H251" s="90" t="str">
        <f t="shared" si="32"/>
        <v/>
      </c>
      <c r="I251" s="90" t="str">
        <f t="shared" si="33"/>
        <v/>
      </c>
      <c r="J251" s="90" t="str">
        <f t="shared" si="34"/>
        <v/>
      </c>
    </row>
    <row r="252" spans="2:10" x14ac:dyDescent="0.25">
      <c r="B252" s="78" t="str">
        <f t="shared" si="28"/>
        <v/>
      </c>
      <c r="C252" s="383" t="str">
        <f t="shared" si="35"/>
        <v/>
      </c>
      <c r="D252" s="90" t="str">
        <f t="shared" si="36"/>
        <v/>
      </c>
      <c r="E252" s="90" t="str">
        <f t="shared" si="29"/>
        <v/>
      </c>
      <c r="F252" s="90" t="str">
        <f t="shared" si="30"/>
        <v/>
      </c>
      <c r="G252" s="90" t="str">
        <f t="shared" si="31"/>
        <v/>
      </c>
      <c r="H252" s="90" t="str">
        <f t="shared" si="32"/>
        <v/>
      </c>
      <c r="I252" s="90" t="str">
        <f t="shared" si="33"/>
        <v/>
      </c>
      <c r="J252" s="90" t="str">
        <f t="shared" si="34"/>
        <v/>
      </c>
    </row>
    <row r="253" spans="2:10" x14ac:dyDescent="0.25">
      <c r="B253" s="78" t="str">
        <f t="shared" si="28"/>
        <v/>
      </c>
      <c r="C253" s="383" t="str">
        <f t="shared" si="35"/>
        <v/>
      </c>
      <c r="D253" s="90" t="str">
        <f t="shared" si="36"/>
        <v/>
      </c>
      <c r="E253" s="90" t="str">
        <f t="shared" si="29"/>
        <v/>
      </c>
      <c r="F253" s="90" t="str">
        <f t="shared" si="30"/>
        <v/>
      </c>
      <c r="G253" s="90" t="str">
        <f t="shared" si="31"/>
        <v/>
      </c>
      <c r="H253" s="90" t="str">
        <f t="shared" si="32"/>
        <v/>
      </c>
      <c r="I253" s="90" t="str">
        <f t="shared" si="33"/>
        <v/>
      </c>
      <c r="J253" s="90" t="str">
        <f t="shared" si="34"/>
        <v/>
      </c>
    </row>
    <row r="254" spans="2:10" x14ac:dyDescent="0.25">
      <c r="B254" s="78" t="str">
        <f t="shared" si="28"/>
        <v/>
      </c>
      <c r="C254" s="383" t="str">
        <f t="shared" si="35"/>
        <v/>
      </c>
      <c r="D254" s="90" t="str">
        <f t="shared" si="36"/>
        <v/>
      </c>
      <c r="E254" s="90" t="str">
        <f t="shared" si="29"/>
        <v/>
      </c>
      <c r="F254" s="90" t="str">
        <f t="shared" si="30"/>
        <v/>
      </c>
      <c r="G254" s="90" t="str">
        <f t="shared" si="31"/>
        <v/>
      </c>
      <c r="H254" s="90" t="str">
        <f t="shared" si="32"/>
        <v/>
      </c>
      <c r="I254" s="90" t="str">
        <f t="shared" si="33"/>
        <v/>
      </c>
      <c r="J254" s="90" t="str">
        <f t="shared" si="34"/>
        <v/>
      </c>
    </row>
    <row r="255" spans="2:10" x14ac:dyDescent="0.25">
      <c r="B255" s="78" t="str">
        <f t="shared" si="28"/>
        <v/>
      </c>
      <c r="C255" s="383" t="str">
        <f t="shared" si="35"/>
        <v/>
      </c>
      <c r="D255" s="90" t="str">
        <f t="shared" si="36"/>
        <v/>
      </c>
      <c r="E255" s="90" t="str">
        <f t="shared" si="29"/>
        <v/>
      </c>
      <c r="F255" s="90" t="str">
        <f t="shared" si="30"/>
        <v/>
      </c>
      <c r="G255" s="90" t="str">
        <f t="shared" si="31"/>
        <v/>
      </c>
      <c r="H255" s="90" t="str">
        <f t="shared" si="32"/>
        <v/>
      </c>
      <c r="I255" s="90" t="str">
        <f t="shared" si="33"/>
        <v/>
      </c>
      <c r="J255" s="90" t="str">
        <f t="shared" si="34"/>
        <v/>
      </c>
    </row>
    <row r="256" spans="2:10" x14ac:dyDescent="0.25">
      <c r="B256" s="78" t="str">
        <f t="shared" si="28"/>
        <v/>
      </c>
      <c r="C256" s="383" t="str">
        <f t="shared" si="35"/>
        <v/>
      </c>
      <c r="D256" s="90" t="str">
        <f t="shared" si="36"/>
        <v/>
      </c>
      <c r="E256" s="90" t="str">
        <f t="shared" si="29"/>
        <v/>
      </c>
      <c r="F256" s="90" t="str">
        <f t="shared" si="30"/>
        <v/>
      </c>
      <c r="G256" s="90" t="str">
        <f t="shared" si="31"/>
        <v/>
      </c>
      <c r="H256" s="90" t="str">
        <f t="shared" si="32"/>
        <v/>
      </c>
      <c r="I256" s="90" t="str">
        <f t="shared" si="33"/>
        <v/>
      </c>
      <c r="J256" s="90" t="str">
        <f t="shared" si="34"/>
        <v/>
      </c>
    </row>
    <row r="257" spans="2:10" x14ac:dyDescent="0.25">
      <c r="B257" s="78" t="str">
        <f t="shared" si="28"/>
        <v/>
      </c>
      <c r="C257" s="383" t="str">
        <f t="shared" si="35"/>
        <v/>
      </c>
      <c r="D257" s="90" t="str">
        <f t="shared" si="36"/>
        <v/>
      </c>
      <c r="E257" s="90" t="str">
        <f t="shared" si="29"/>
        <v/>
      </c>
      <c r="F257" s="90" t="str">
        <f t="shared" si="30"/>
        <v/>
      </c>
      <c r="G257" s="90" t="str">
        <f t="shared" si="31"/>
        <v/>
      </c>
      <c r="H257" s="90" t="str">
        <f t="shared" si="32"/>
        <v/>
      </c>
      <c r="I257" s="90" t="str">
        <f t="shared" si="33"/>
        <v/>
      </c>
      <c r="J257" s="90" t="str">
        <f t="shared" si="34"/>
        <v/>
      </c>
    </row>
    <row r="258" spans="2:10" x14ac:dyDescent="0.25">
      <c r="B258" s="78" t="str">
        <f t="shared" si="28"/>
        <v/>
      </c>
      <c r="C258" s="383" t="str">
        <f t="shared" si="35"/>
        <v/>
      </c>
      <c r="D258" s="90" t="str">
        <f t="shared" si="36"/>
        <v/>
      </c>
      <c r="E258" s="90" t="str">
        <f t="shared" si="29"/>
        <v/>
      </c>
      <c r="F258" s="90" t="str">
        <f t="shared" si="30"/>
        <v/>
      </c>
      <c r="G258" s="90" t="str">
        <f t="shared" si="31"/>
        <v/>
      </c>
      <c r="H258" s="90" t="str">
        <f t="shared" si="32"/>
        <v/>
      </c>
      <c r="I258" s="90" t="str">
        <f t="shared" si="33"/>
        <v/>
      </c>
      <c r="J258" s="90" t="str">
        <f t="shared" si="34"/>
        <v/>
      </c>
    </row>
    <row r="259" spans="2:10" x14ac:dyDescent="0.25">
      <c r="B259" s="78" t="str">
        <f t="shared" si="28"/>
        <v/>
      </c>
      <c r="C259" s="383" t="str">
        <f t="shared" si="35"/>
        <v/>
      </c>
      <c r="D259" s="90" t="str">
        <f t="shared" si="36"/>
        <v/>
      </c>
      <c r="E259" s="90" t="str">
        <f t="shared" si="29"/>
        <v/>
      </c>
      <c r="F259" s="90" t="str">
        <f t="shared" si="30"/>
        <v/>
      </c>
      <c r="G259" s="90" t="str">
        <f t="shared" si="31"/>
        <v/>
      </c>
      <c r="H259" s="90" t="str">
        <f t="shared" si="32"/>
        <v/>
      </c>
      <c r="I259" s="90" t="str">
        <f t="shared" si="33"/>
        <v/>
      </c>
      <c r="J259" s="90" t="str">
        <f t="shared" si="34"/>
        <v/>
      </c>
    </row>
    <row r="260" spans="2:10" x14ac:dyDescent="0.25">
      <c r="B260" s="78" t="str">
        <f t="shared" si="28"/>
        <v/>
      </c>
      <c r="C260" s="383" t="str">
        <f t="shared" si="35"/>
        <v/>
      </c>
      <c r="D260" s="90" t="str">
        <f t="shared" si="36"/>
        <v/>
      </c>
      <c r="E260" s="90" t="str">
        <f t="shared" si="29"/>
        <v/>
      </c>
      <c r="F260" s="90" t="str">
        <f t="shared" si="30"/>
        <v/>
      </c>
      <c r="G260" s="90" t="str">
        <f t="shared" si="31"/>
        <v/>
      </c>
      <c r="H260" s="90" t="str">
        <f t="shared" si="32"/>
        <v/>
      </c>
      <c r="I260" s="90" t="str">
        <f t="shared" si="33"/>
        <v/>
      </c>
      <c r="J260" s="90" t="str">
        <f t="shared" si="34"/>
        <v/>
      </c>
    </row>
    <row r="261" spans="2:10" x14ac:dyDescent="0.25">
      <c r="B261" s="78" t="str">
        <f t="shared" si="28"/>
        <v/>
      </c>
      <c r="C261" s="383" t="str">
        <f t="shared" si="35"/>
        <v/>
      </c>
      <c r="D261" s="90" t="str">
        <f t="shared" si="36"/>
        <v/>
      </c>
      <c r="E261" s="90" t="str">
        <f t="shared" si="29"/>
        <v/>
      </c>
      <c r="F261" s="90" t="str">
        <f t="shared" si="30"/>
        <v/>
      </c>
      <c r="G261" s="90" t="str">
        <f t="shared" si="31"/>
        <v/>
      </c>
      <c r="H261" s="90" t="str">
        <f t="shared" si="32"/>
        <v/>
      </c>
      <c r="I261" s="90" t="str">
        <f t="shared" si="33"/>
        <v/>
      </c>
      <c r="J261" s="90" t="str">
        <f t="shared" si="34"/>
        <v/>
      </c>
    </row>
    <row r="262" spans="2:10" x14ac:dyDescent="0.25">
      <c r="B262" s="78" t="str">
        <f t="shared" si="28"/>
        <v/>
      </c>
      <c r="C262" s="383" t="str">
        <f t="shared" si="35"/>
        <v/>
      </c>
      <c r="D262" s="90" t="str">
        <f t="shared" si="36"/>
        <v/>
      </c>
      <c r="E262" s="90" t="str">
        <f t="shared" si="29"/>
        <v/>
      </c>
      <c r="F262" s="90" t="str">
        <f t="shared" si="30"/>
        <v/>
      </c>
      <c r="G262" s="90" t="str">
        <f t="shared" si="31"/>
        <v/>
      </c>
      <c r="H262" s="90" t="str">
        <f t="shared" si="32"/>
        <v/>
      </c>
      <c r="I262" s="90" t="str">
        <f t="shared" si="33"/>
        <v/>
      </c>
      <c r="J262" s="90" t="str">
        <f t="shared" si="34"/>
        <v/>
      </c>
    </row>
    <row r="263" spans="2:10" x14ac:dyDescent="0.25">
      <c r="B263" s="78" t="str">
        <f t="shared" si="28"/>
        <v/>
      </c>
      <c r="C263" s="383" t="str">
        <f t="shared" si="35"/>
        <v/>
      </c>
      <c r="D263" s="90" t="str">
        <f t="shared" si="36"/>
        <v/>
      </c>
      <c r="E263" s="90" t="str">
        <f t="shared" si="29"/>
        <v/>
      </c>
      <c r="F263" s="90" t="str">
        <f t="shared" si="30"/>
        <v/>
      </c>
      <c r="G263" s="90" t="str">
        <f t="shared" si="31"/>
        <v/>
      </c>
      <c r="H263" s="90" t="str">
        <f t="shared" si="32"/>
        <v/>
      </c>
      <c r="I263" s="90" t="str">
        <f t="shared" si="33"/>
        <v/>
      </c>
      <c r="J263" s="90" t="str">
        <f t="shared" si="34"/>
        <v/>
      </c>
    </row>
    <row r="264" spans="2:10" x14ac:dyDescent="0.25">
      <c r="B264" s="78" t="str">
        <f t="shared" si="28"/>
        <v/>
      </c>
      <c r="C264" s="383" t="str">
        <f t="shared" si="35"/>
        <v/>
      </c>
      <c r="D264" s="90" t="str">
        <f t="shared" si="36"/>
        <v/>
      </c>
      <c r="E264" s="90" t="str">
        <f t="shared" si="29"/>
        <v/>
      </c>
      <c r="F264" s="90" t="str">
        <f t="shared" si="30"/>
        <v/>
      </c>
      <c r="G264" s="90" t="str">
        <f t="shared" si="31"/>
        <v/>
      </c>
      <c r="H264" s="90" t="str">
        <f t="shared" si="32"/>
        <v/>
      </c>
      <c r="I264" s="90" t="str">
        <f t="shared" si="33"/>
        <v/>
      </c>
      <c r="J264" s="90" t="str">
        <f t="shared" si="34"/>
        <v/>
      </c>
    </row>
    <row r="265" spans="2:10" x14ac:dyDescent="0.25">
      <c r="B265" s="78" t="str">
        <f t="shared" si="28"/>
        <v/>
      </c>
      <c r="C265" s="383" t="str">
        <f t="shared" si="35"/>
        <v/>
      </c>
      <c r="D265" s="90" t="str">
        <f t="shared" si="36"/>
        <v/>
      </c>
      <c r="E265" s="90" t="str">
        <f t="shared" si="29"/>
        <v/>
      </c>
      <c r="F265" s="90" t="str">
        <f t="shared" si="30"/>
        <v/>
      </c>
      <c r="G265" s="90" t="str">
        <f t="shared" si="31"/>
        <v/>
      </c>
      <c r="H265" s="90" t="str">
        <f t="shared" si="32"/>
        <v/>
      </c>
      <c r="I265" s="90" t="str">
        <f t="shared" si="33"/>
        <v/>
      </c>
      <c r="J265" s="90" t="str">
        <f t="shared" si="34"/>
        <v/>
      </c>
    </row>
    <row r="266" spans="2:10" x14ac:dyDescent="0.25">
      <c r="B266" s="78" t="str">
        <f t="shared" si="28"/>
        <v/>
      </c>
      <c r="C266" s="383" t="str">
        <f t="shared" si="35"/>
        <v/>
      </c>
      <c r="D266" s="90" t="str">
        <f t="shared" si="36"/>
        <v/>
      </c>
      <c r="E266" s="90" t="str">
        <f t="shared" si="29"/>
        <v/>
      </c>
      <c r="F266" s="90" t="str">
        <f t="shared" si="30"/>
        <v/>
      </c>
      <c r="G266" s="90" t="str">
        <f t="shared" si="31"/>
        <v/>
      </c>
      <c r="H266" s="90" t="str">
        <f t="shared" si="32"/>
        <v/>
      </c>
      <c r="I266" s="90" t="str">
        <f t="shared" si="33"/>
        <v/>
      </c>
      <c r="J266" s="90" t="str">
        <f t="shared" si="34"/>
        <v/>
      </c>
    </row>
    <row r="267" spans="2:10" x14ac:dyDescent="0.25">
      <c r="B267" s="78" t="str">
        <f t="shared" si="28"/>
        <v/>
      </c>
      <c r="C267" s="383" t="str">
        <f t="shared" si="35"/>
        <v/>
      </c>
      <c r="D267" s="90" t="str">
        <f t="shared" si="36"/>
        <v/>
      </c>
      <c r="E267" s="90" t="str">
        <f t="shared" si="29"/>
        <v/>
      </c>
      <c r="F267" s="90" t="str">
        <f t="shared" si="30"/>
        <v/>
      </c>
      <c r="G267" s="90" t="str">
        <f t="shared" si="31"/>
        <v/>
      </c>
      <c r="H267" s="90" t="str">
        <f t="shared" si="32"/>
        <v/>
      </c>
      <c r="I267" s="90" t="str">
        <f t="shared" si="33"/>
        <v/>
      </c>
      <c r="J267" s="90" t="str">
        <f t="shared" si="34"/>
        <v/>
      </c>
    </row>
    <row r="268" spans="2:10" x14ac:dyDescent="0.25">
      <c r="B268" s="78" t="str">
        <f t="shared" si="28"/>
        <v/>
      </c>
      <c r="C268" s="383" t="str">
        <f t="shared" si="35"/>
        <v/>
      </c>
      <c r="D268" s="90" t="str">
        <f t="shared" si="36"/>
        <v/>
      </c>
      <c r="E268" s="90" t="str">
        <f t="shared" si="29"/>
        <v/>
      </c>
      <c r="F268" s="90" t="str">
        <f t="shared" si="30"/>
        <v/>
      </c>
      <c r="G268" s="90" t="str">
        <f t="shared" si="31"/>
        <v/>
      </c>
      <c r="H268" s="90" t="str">
        <f t="shared" si="32"/>
        <v/>
      </c>
      <c r="I268" s="90" t="str">
        <f t="shared" si="33"/>
        <v/>
      </c>
      <c r="J268" s="90" t="str">
        <f t="shared" si="34"/>
        <v/>
      </c>
    </row>
    <row r="269" spans="2:10" x14ac:dyDescent="0.25">
      <c r="B269" s="78" t="str">
        <f t="shared" si="28"/>
        <v/>
      </c>
      <c r="C269" s="383" t="str">
        <f t="shared" si="35"/>
        <v/>
      </c>
      <c r="D269" s="90" t="str">
        <f t="shared" si="36"/>
        <v/>
      </c>
      <c r="E269" s="90" t="str">
        <f t="shared" si="29"/>
        <v/>
      </c>
      <c r="F269" s="90" t="str">
        <f t="shared" si="30"/>
        <v/>
      </c>
      <c r="G269" s="90" t="str">
        <f t="shared" si="31"/>
        <v/>
      </c>
      <c r="H269" s="90" t="str">
        <f t="shared" si="32"/>
        <v/>
      </c>
      <c r="I269" s="90" t="str">
        <f t="shared" si="33"/>
        <v/>
      </c>
      <c r="J269" s="90" t="str">
        <f t="shared" si="34"/>
        <v/>
      </c>
    </row>
    <row r="270" spans="2:10" x14ac:dyDescent="0.25">
      <c r="B270" s="78" t="str">
        <f t="shared" si="28"/>
        <v/>
      </c>
      <c r="C270" s="383" t="str">
        <f t="shared" si="35"/>
        <v/>
      </c>
      <c r="D270" s="90" t="str">
        <f t="shared" si="36"/>
        <v/>
      </c>
      <c r="E270" s="90" t="str">
        <f t="shared" si="29"/>
        <v/>
      </c>
      <c r="F270" s="90" t="str">
        <f t="shared" si="30"/>
        <v/>
      </c>
      <c r="G270" s="90" t="str">
        <f t="shared" si="31"/>
        <v/>
      </c>
      <c r="H270" s="90" t="str">
        <f t="shared" si="32"/>
        <v/>
      </c>
      <c r="I270" s="90" t="str">
        <f t="shared" si="33"/>
        <v/>
      </c>
      <c r="J270" s="90" t="str">
        <f t="shared" si="34"/>
        <v/>
      </c>
    </row>
    <row r="271" spans="2:10" x14ac:dyDescent="0.25">
      <c r="B271" s="78" t="str">
        <f t="shared" si="28"/>
        <v/>
      </c>
      <c r="C271" s="383" t="str">
        <f t="shared" si="35"/>
        <v/>
      </c>
      <c r="D271" s="90" t="str">
        <f t="shared" si="36"/>
        <v/>
      </c>
      <c r="E271" s="90" t="str">
        <f t="shared" si="29"/>
        <v/>
      </c>
      <c r="F271" s="90" t="str">
        <f t="shared" si="30"/>
        <v/>
      </c>
      <c r="G271" s="90" t="str">
        <f t="shared" si="31"/>
        <v/>
      </c>
      <c r="H271" s="90" t="str">
        <f t="shared" si="32"/>
        <v/>
      </c>
      <c r="I271" s="90" t="str">
        <f t="shared" si="33"/>
        <v/>
      </c>
      <c r="J271" s="90" t="str">
        <f t="shared" si="34"/>
        <v/>
      </c>
    </row>
    <row r="272" spans="2:10" x14ac:dyDescent="0.25">
      <c r="B272" s="78" t="str">
        <f t="shared" si="28"/>
        <v/>
      </c>
      <c r="C272" s="383" t="str">
        <f t="shared" si="35"/>
        <v/>
      </c>
      <c r="D272" s="90" t="str">
        <f t="shared" si="36"/>
        <v/>
      </c>
      <c r="E272" s="90" t="str">
        <f t="shared" si="29"/>
        <v/>
      </c>
      <c r="F272" s="90" t="str">
        <f t="shared" si="30"/>
        <v/>
      </c>
      <c r="G272" s="90" t="str">
        <f t="shared" si="31"/>
        <v/>
      </c>
      <c r="H272" s="90" t="str">
        <f t="shared" si="32"/>
        <v/>
      </c>
      <c r="I272" s="90" t="str">
        <f t="shared" si="33"/>
        <v/>
      </c>
      <c r="J272" s="90" t="str">
        <f t="shared" si="34"/>
        <v/>
      </c>
    </row>
    <row r="273" spans="2:10" x14ac:dyDescent="0.25">
      <c r="B273" s="78" t="str">
        <f t="shared" si="28"/>
        <v/>
      </c>
      <c r="C273" s="383" t="str">
        <f t="shared" si="35"/>
        <v/>
      </c>
      <c r="D273" s="90" t="str">
        <f t="shared" si="36"/>
        <v/>
      </c>
      <c r="E273" s="90" t="str">
        <f t="shared" si="29"/>
        <v/>
      </c>
      <c r="F273" s="90" t="str">
        <f t="shared" si="30"/>
        <v/>
      </c>
      <c r="G273" s="90" t="str">
        <f t="shared" si="31"/>
        <v/>
      </c>
      <c r="H273" s="90" t="str">
        <f t="shared" si="32"/>
        <v/>
      </c>
      <c r="I273" s="90" t="str">
        <f t="shared" si="33"/>
        <v/>
      </c>
      <c r="J273" s="90" t="str">
        <f t="shared" si="34"/>
        <v/>
      </c>
    </row>
    <row r="274" spans="2:10" x14ac:dyDescent="0.25">
      <c r="B274" s="78" t="str">
        <f t="shared" si="28"/>
        <v/>
      </c>
      <c r="C274" s="383" t="str">
        <f t="shared" si="35"/>
        <v/>
      </c>
      <c r="D274" s="90" t="str">
        <f t="shared" si="36"/>
        <v/>
      </c>
      <c r="E274" s="90" t="str">
        <f t="shared" si="29"/>
        <v/>
      </c>
      <c r="F274" s="90" t="str">
        <f t="shared" si="30"/>
        <v/>
      </c>
      <c r="G274" s="90" t="str">
        <f t="shared" si="31"/>
        <v/>
      </c>
      <c r="H274" s="90" t="str">
        <f t="shared" si="32"/>
        <v/>
      </c>
      <c r="I274" s="90" t="str">
        <f t="shared" si="33"/>
        <v/>
      </c>
      <c r="J274" s="90" t="str">
        <f t="shared" si="34"/>
        <v/>
      </c>
    </row>
    <row r="275" spans="2:10" x14ac:dyDescent="0.25">
      <c r="B275" s="78" t="str">
        <f t="shared" si="28"/>
        <v/>
      </c>
      <c r="C275" s="383" t="str">
        <f t="shared" si="35"/>
        <v/>
      </c>
      <c r="D275" s="90" t="str">
        <f t="shared" si="36"/>
        <v/>
      </c>
      <c r="E275" s="90" t="str">
        <f t="shared" si="29"/>
        <v/>
      </c>
      <c r="F275" s="90" t="str">
        <f t="shared" si="30"/>
        <v/>
      </c>
      <c r="G275" s="90" t="str">
        <f t="shared" si="31"/>
        <v/>
      </c>
      <c r="H275" s="90" t="str">
        <f t="shared" si="32"/>
        <v/>
      </c>
      <c r="I275" s="90" t="str">
        <f t="shared" si="33"/>
        <v/>
      </c>
      <c r="J275" s="90" t="str">
        <f t="shared" si="34"/>
        <v/>
      </c>
    </row>
    <row r="276" spans="2:10" x14ac:dyDescent="0.25">
      <c r="B276" s="78" t="str">
        <f t="shared" si="28"/>
        <v/>
      </c>
      <c r="C276" s="383" t="str">
        <f t="shared" si="35"/>
        <v/>
      </c>
      <c r="D276" s="90" t="str">
        <f t="shared" si="36"/>
        <v/>
      </c>
      <c r="E276" s="90" t="str">
        <f t="shared" si="29"/>
        <v/>
      </c>
      <c r="F276" s="90" t="str">
        <f t="shared" si="30"/>
        <v/>
      </c>
      <c r="G276" s="90" t="str">
        <f t="shared" si="31"/>
        <v/>
      </c>
      <c r="H276" s="90" t="str">
        <f t="shared" si="32"/>
        <v/>
      </c>
      <c r="I276" s="90" t="str">
        <f t="shared" si="33"/>
        <v/>
      </c>
      <c r="J276" s="90" t="str">
        <f t="shared" si="34"/>
        <v/>
      </c>
    </row>
    <row r="277" spans="2:10" x14ac:dyDescent="0.25">
      <c r="B277" s="78" t="str">
        <f t="shared" si="28"/>
        <v/>
      </c>
      <c r="C277" s="383" t="str">
        <f t="shared" si="35"/>
        <v/>
      </c>
      <c r="D277" s="90" t="str">
        <f t="shared" si="36"/>
        <v/>
      </c>
      <c r="E277" s="90" t="str">
        <f t="shared" si="29"/>
        <v/>
      </c>
      <c r="F277" s="90" t="str">
        <f t="shared" si="30"/>
        <v/>
      </c>
      <c r="G277" s="90" t="str">
        <f t="shared" si="31"/>
        <v/>
      </c>
      <c r="H277" s="90" t="str">
        <f t="shared" si="32"/>
        <v/>
      </c>
      <c r="I277" s="90" t="str">
        <f t="shared" si="33"/>
        <v/>
      </c>
      <c r="J277" s="90" t="str">
        <f t="shared" si="34"/>
        <v/>
      </c>
    </row>
    <row r="278" spans="2:10" x14ac:dyDescent="0.25">
      <c r="B278" s="78" t="str">
        <f t="shared" si="28"/>
        <v/>
      </c>
      <c r="C278" s="383" t="str">
        <f t="shared" si="35"/>
        <v/>
      </c>
      <c r="D278" s="90" t="str">
        <f t="shared" si="36"/>
        <v/>
      </c>
      <c r="E278" s="90" t="str">
        <f t="shared" si="29"/>
        <v/>
      </c>
      <c r="F278" s="90" t="str">
        <f t="shared" si="30"/>
        <v/>
      </c>
      <c r="G278" s="90" t="str">
        <f t="shared" si="31"/>
        <v/>
      </c>
      <c r="H278" s="90" t="str">
        <f t="shared" si="32"/>
        <v/>
      </c>
      <c r="I278" s="90" t="str">
        <f t="shared" si="33"/>
        <v/>
      </c>
      <c r="J278" s="90" t="str">
        <f t="shared" si="34"/>
        <v/>
      </c>
    </row>
    <row r="279" spans="2:10" x14ac:dyDescent="0.25">
      <c r="B279" s="78" t="str">
        <f t="shared" ref="B279:B342" si="37">IF(OR(ISERROR(IF(B278+1&lt;=$E$13,B278+1,"")),J278&lt;=0),"",IF(B278+1&lt;=$E$13,B278+1,""))</f>
        <v/>
      </c>
      <c r="C279" s="383" t="str">
        <f t="shared" si="35"/>
        <v/>
      </c>
      <c r="D279" s="90" t="str">
        <f t="shared" si="36"/>
        <v/>
      </c>
      <c r="E279" s="90" t="str">
        <f t="shared" ref="E279:E342" si="38">IF(B279&lt;&gt;"",$E$12,"")</f>
        <v/>
      </c>
      <c r="F279" s="90" t="str">
        <f t="shared" ref="F279:F342" si="39">IF(B279&lt;&gt;"",$E$9,"")</f>
        <v/>
      </c>
      <c r="G279" s="90" t="str">
        <f t="shared" ref="G279:G342" si="40">IF(B279&lt;&gt;"",E279+F279,"")</f>
        <v/>
      </c>
      <c r="H279" s="90" t="str">
        <f t="shared" ref="H279:H342" si="41">IF(B279&lt;&gt;"",E279+F279-I279,"")</f>
        <v/>
      </c>
      <c r="I279" s="90" t="str">
        <f t="shared" ref="I279:I342" si="42">IF(B279&lt;&gt;"",D279*$E$6/12,"")</f>
        <v/>
      </c>
      <c r="J279" s="90" t="str">
        <f t="shared" ref="J279:J342" si="43">IF(B279&lt;&gt;"",D279-H279,"")</f>
        <v/>
      </c>
    </row>
    <row r="280" spans="2:10" x14ac:dyDescent="0.25">
      <c r="B280" s="78" t="str">
        <f t="shared" si="37"/>
        <v/>
      </c>
      <c r="C280" s="383" t="str">
        <f t="shared" ref="C280:C343" si="44">IF(B280&lt;&gt;"",DATE(YEAR(C279),MONTH(C279)+1,DAY(C279)),"")</f>
        <v/>
      </c>
      <c r="D280" s="90" t="str">
        <f t="shared" ref="D280:D343" si="45">IF(B280&lt;&gt;"",J279,"")</f>
        <v/>
      </c>
      <c r="E280" s="90" t="str">
        <f t="shared" si="38"/>
        <v/>
      </c>
      <c r="F280" s="90" t="str">
        <f t="shared" si="39"/>
        <v/>
      </c>
      <c r="G280" s="90" t="str">
        <f t="shared" si="40"/>
        <v/>
      </c>
      <c r="H280" s="90" t="str">
        <f t="shared" si="41"/>
        <v/>
      </c>
      <c r="I280" s="90" t="str">
        <f t="shared" si="42"/>
        <v/>
      </c>
      <c r="J280" s="90" t="str">
        <f t="shared" si="43"/>
        <v/>
      </c>
    </row>
    <row r="281" spans="2:10" x14ac:dyDescent="0.25">
      <c r="B281" s="78" t="str">
        <f t="shared" si="37"/>
        <v/>
      </c>
      <c r="C281" s="383" t="str">
        <f t="shared" si="44"/>
        <v/>
      </c>
      <c r="D281" s="90" t="str">
        <f t="shared" si="45"/>
        <v/>
      </c>
      <c r="E281" s="90" t="str">
        <f t="shared" si="38"/>
        <v/>
      </c>
      <c r="F281" s="90" t="str">
        <f t="shared" si="39"/>
        <v/>
      </c>
      <c r="G281" s="90" t="str">
        <f t="shared" si="40"/>
        <v/>
      </c>
      <c r="H281" s="90" t="str">
        <f t="shared" si="41"/>
        <v/>
      </c>
      <c r="I281" s="90" t="str">
        <f t="shared" si="42"/>
        <v/>
      </c>
      <c r="J281" s="90" t="str">
        <f t="shared" si="43"/>
        <v/>
      </c>
    </row>
    <row r="282" spans="2:10" x14ac:dyDescent="0.25">
      <c r="B282" s="78" t="str">
        <f t="shared" si="37"/>
        <v/>
      </c>
      <c r="C282" s="383" t="str">
        <f t="shared" si="44"/>
        <v/>
      </c>
      <c r="D282" s="90" t="str">
        <f t="shared" si="45"/>
        <v/>
      </c>
      <c r="E282" s="90" t="str">
        <f t="shared" si="38"/>
        <v/>
      </c>
      <c r="F282" s="90" t="str">
        <f t="shared" si="39"/>
        <v/>
      </c>
      <c r="G282" s="90" t="str">
        <f t="shared" si="40"/>
        <v/>
      </c>
      <c r="H282" s="90" t="str">
        <f t="shared" si="41"/>
        <v/>
      </c>
      <c r="I282" s="90" t="str">
        <f t="shared" si="42"/>
        <v/>
      </c>
      <c r="J282" s="90" t="str">
        <f t="shared" si="43"/>
        <v/>
      </c>
    </row>
    <row r="283" spans="2:10" x14ac:dyDescent="0.25">
      <c r="B283" s="78" t="str">
        <f t="shared" si="37"/>
        <v/>
      </c>
      <c r="C283" s="383" t="str">
        <f t="shared" si="44"/>
        <v/>
      </c>
      <c r="D283" s="90" t="str">
        <f t="shared" si="45"/>
        <v/>
      </c>
      <c r="E283" s="90" t="str">
        <f t="shared" si="38"/>
        <v/>
      </c>
      <c r="F283" s="90" t="str">
        <f t="shared" si="39"/>
        <v/>
      </c>
      <c r="G283" s="90" t="str">
        <f t="shared" si="40"/>
        <v/>
      </c>
      <c r="H283" s="90" t="str">
        <f t="shared" si="41"/>
        <v/>
      </c>
      <c r="I283" s="90" t="str">
        <f t="shared" si="42"/>
        <v/>
      </c>
      <c r="J283" s="90" t="str">
        <f t="shared" si="43"/>
        <v/>
      </c>
    </row>
    <row r="284" spans="2:10" x14ac:dyDescent="0.25">
      <c r="B284" s="78" t="str">
        <f t="shared" si="37"/>
        <v/>
      </c>
      <c r="C284" s="383" t="str">
        <f t="shared" si="44"/>
        <v/>
      </c>
      <c r="D284" s="90" t="str">
        <f t="shared" si="45"/>
        <v/>
      </c>
      <c r="E284" s="90" t="str">
        <f t="shared" si="38"/>
        <v/>
      </c>
      <c r="F284" s="90" t="str">
        <f t="shared" si="39"/>
        <v/>
      </c>
      <c r="G284" s="90" t="str">
        <f t="shared" si="40"/>
        <v/>
      </c>
      <c r="H284" s="90" t="str">
        <f t="shared" si="41"/>
        <v/>
      </c>
      <c r="I284" s="90" t="str">
        <f t="shared" si="42"/>
        <v/>
      </c>
      <c r="J284" s="90" t="str">
        <f t="shared" si="43"/>
        <v/>
      </c>
    </row>
    <row r="285" spans="2:10" x14ac:dyDescent="0.25">
      <c r="B285" s="78" t="str">
        <f t="shared" si="37"/>
        <v/>
      </c>
      <c r="C285" s="383" t="str">
        <f t="shared" si="44"/>
        <v/>
      </c>
      <c r="D285" s="90" t="str">
        <f t="shared" si="45"/>
        <v/>
      </c>
      <c r="E285" s="90" t="str">
        <f t="shared" si="38"/>
        <v/>
      </c>
      <c r="F285" s="90" t="str">
        <f t="shared" si="39"/>
        <v/>
      </c>
      <c r="G285" s="90" t="str">
        <f t="shared" si="40"/>
        <v/>
      </c>
      <c r="H285" s="90" t="str">
        <f t="shared" si="41"/>
        <v/>
      </c>
      <c r="I285" s="90" t="str">
        <f t="shared" si="42"/>
        <v/>
      </c>
      <c r="J285" s="90" t="str">
        <f t="shared" si="43"/>
        <v/>
      </c>
    </row>
    <row r="286" spans="2:10" x14ac:dyDescent="0.25">
      <c r="B286" s="78" t="str">
        <f t="shared" si="37"/>
        <v/>
      </c>
      <c r="C286" s="383" t="str">
        <f t="shared" si="44"/>
        <v/>
      </c>
      <c r="D286" s="90" t="str">
        <f t="shared" si="45"/>
        <v/>
      </c>
      <c r="E286" s="90" t="str">
        <f t="shared" si="38"/>
        <v/>
      </c>
      <c r="F286" s="90" t="str">
        <f t="shared" si="39"/>
        <v/>
      </c>
      <c r="G286" s="90" t="str">
        <f t="shared" si="40"/>
        <v/>
      </c>
      <c r="H286" s="90" t="str">
        <f t="shared" si="41"/>
        <v/>
      </c>
      <c r="I286" s="90" t="str">
        <f t="shared" si="42"/>
        <v/>
      </c>
      <c r="J286" s="90" t="str">
        <f t="shared" si="43"/>
        <v/>
      </c>
    </row>
    <row r="287" spans="2:10" x14ac:dyDescent="0.25">
      <c r="B287" s="78" t="str">
        <f t="shared" si="37"/>
        <v/>
      </c>
      <c r="C287" s="383" t="str">
        <f t="shared" si="44"/>
        <v/>
      </c>
      <c r="D287" s="90" t="str">
        <f t="shared" si="45"/>
        <v/>
      </c>
      <c r="E287" s="90" t="str">
        <f t="shared" si="38"/>
        <v/>
      </c>
      <c r="F287" s="90" t="str">
        <f t="shared" si="39"/>
        <v/>
      </c>
      <c r="G287" s="90" t="str">
        <f t="shared" si="40"/>
        <v/>
      </c>
      <c r="H287" s="90" t="str">
        <f t="shared" si="41"/>
        <v/>
      </c>
      <c r="I287" s="90" t="str">
        <f t="shared" si="42"/>
        <v/>
      </c>
      <c r="J287" s="90" t="str">
        <f t="shared" si="43"/>
        <v/>
      </c>
    </row>
    <row r="288" spans="2:10" x14ac:dyDescent="0.25">
      <c r="B288" s="78" t="str">
        <f t="shared" si="37"/>
        <v/>
      </c>
      <c r="C288" s="383" t="str">
        <f t="shared" si="44"/>
        <v/>
      </c>
      <c r="D288" s="90" t="str">
        <f t="shared" si="45"/>
        <v/>
      </c>
      <c r="E288" s="90" t="str">
        <f t="shared" si="38"/>
        <v/>
      </c>
      <c r="F288" s="90" t="str">
        <f t="shared" si="39"/>
        <v/>
      </c>
      <c r="G288" s="90" t="str">
        <f t="shared" si="40"/>
        <v/>
      </c>
      <c r="H288" s="90" t="str">
        <f t="shared" si="41"/>
        <v/>
      </c>
      <c r="I288" s="90" t="str">
        <f t="shared" si="42"/>
        <v/>
      </c>
      <c r="J288" s="90" t="str">
        <f t="shared" si="43"/>
        <v/>
      </c>
    </row>
    <row r="289" spans="2:10" x14ac:dyDescent="0.25">
      <c r="B289" s="78" t="str">
        <f t="shared" si="37"/>
        <v/>
      </c>
      <c r="C289" s="383" t="str">
        <f t="shared" si="44"/>
        <v/>
      </c>
      <c r="D289" s="90" t="str">
        <f t="shared" si="45"/>
        <v/>
      </c>
      <c r="E289" s="90" t="str">
        <f t="shared" si="38"/>
        <v/>
      </c>
      <c r="F289" s="90" t="str">
        <f t="shared" si="39"/>
        <v/>
      </c>
      <c r="G289" s="90" t="str">
        <f t="shared" si="40"/>
        <v/>
      </c>
      <c r="H289" s="90" t="str">
        <f t="shared" si="41"/>
        <v/>
      </c>
      <c r="I289" s="90" t="str">
        <f t="shared" si="42"/>
        <v/>
      </c>
      <c r="J289" s="90" t="str">
        <f t="shared" si="43"/>
        <v/>
      </c>
    </row>
    <row r="290" spans="2:10" x14ac:dyDescent="0.25">
      <c r="B290" s="78" t="str">
        <f t="shared" si="37"/>
        <v/>
      </c>
      <c r="C290" s="383" t="str">
        <f t="shared" si="44"/>
        <v/>
      </c>
      <c r="D290" s="90" t="str">
        <f t="shared" si="45"/>
        <v/>
      </c>
      <c r="E290" s="90" t="str">
        <f t="shared" si="38"/>
        <v/>
      </c>
      <c r="F290" s="90" t="str">
        <f t="shared" si="39"/>
        <v/>
      </c>
      <c r="G290" s="90" t="str">
        <f t="shared" si="40"/>
        <v/>
      </c>
      <c r="H290" s="90" t="str">
        <f t="shared" si="41"/>
        <v/>
      </c>
      <c r="I290" s="90" t="str">
        <f t="shared" si="42"/>
        <v/>
      </c>
      <c r="J290" s="90" t="str">
        <f t="shared" si="43"/>
        <v/>
      </c>
    </row>
    <row r="291" spans="2:10" x14ac:dyDescent="0.25">
      <c r="B291" s="78" t="str">
        <f t="shared" si="37"/>
        <v/>
      </c>
      <c r="C291" s="383" t="str">
        <f t="shared" si="44"/>
        <v/>
      </c>
      <c r="D291" s="90" t="str">
        <f t="shared" si="45"/>
        <v/>
      </c>
      <c r="E291" s="90" t="str">
        <f t="shared" si="38"/>
        <v/>
      </c>
      <c r="F291" s="90" t="str">
        <f t="shared" si="39"/>
        <v/>
      </c>
      <c r="G291" s="90" t="str">
        <f t="shared" si="40"/>
        <v/>
      </c>
      <c r="H291" s="90" t="str">
        <f t="shared" si="41"/>
        <v/>
      </c>
      <c r="I291" s="90" t="str">
        <f t="shared" si="42"/>
        <v/>
      </c>
      <c r="J291" s="90" t="str">
        <f t="shared" si="43"/>
        <v/>
      </c>
    </row>
    <row r="292" spans="2:10" x14ac:dyDescent="0.25">
      <c r="B292" s="78" t="str">
        <f t="shared" si="37"/>
        <v/>
      </c>
      <c r="C292" s="383" t="str">
        <f t="shared" si="44"/>
        <v/>
      </c>
      <c r="D292" s="90" t="str">
        <f t="shared" si="45"/>
        <v/>
      </c>
      <c r="E292" s="90" t="str">
        <f t="shared" si="38"/>
        <v/>
      </c>
      <c r="F292" s="90" t="str">
        <f t="shared" si="39"/>
        <v/>
      </c>
      <c r="G292" s="90" t="str">
        <f t="shared" si="40"/>
        <v/>
      </c>
      <c r="H292" s="90" t="str">
        <f t="shared" si="41"/>
        <v/>
      </c>
      <c r="I292" s="90" t="str">
        <f t="shared" si="42"/>
        <v/>
      </c>
      <c r="J292" s="90" t="str">
        <f t="shared" si="43"/>
        <v/>
      </c>
    </row>
    <row r="293" spans="2:10" x14ac:dyDescent="0.25">
      <c r="B293" s="78" t="str">
        <f t="shared" si="37"/>
        <v/>
      </c>
      <c r="C293" s="383" t="str">
        <f t="shared" si="44"/>
        <v/>
      </c>
      <c r="D293" s="90" t="str">
        <f t="shared" si="45"/>
        <v/>
      </c>
      <c r="E293" s="90" t="str">
        <f t="shared" si="38"/>
        <v/>
      </c>
      <c r="F293" s="90" t="str">
        <f t="shared" si="39"/>
        <v/>
      </c>
      <c r="G293" s="90" t="str">
        <f t="shared" si="40"/>
        <v/>
      </c>
      <c r="H293" s="90" t="str">
        <f t="shared" si="41"/>
        <v/>
      </c>
      <c r="I293" s="90" t="str">
        <f t="shared" si="42"/>
        <v/>
      </c>
      <c r="J293" s="90" t="str">
        <f t="shared" si="43"/>
        <v/>
      </c>
    </row>
    <row r="294" spans="2:10" x14ac:dyDescent="0.25">
      <c r="B294" s="78" t="str">
        <f t="shared" si="37"/>
        <v/>
      </c>
      <c r="C294" s="383" t="str">
        <f t="shared" si="44"/>
        <v/>
      </c>
      <c r="D294" s="90" t="str">
        <f t="shared" si="45"/>
        <v/>
      </c>
      <c r="E294" s="90" t="str">
        <f t="shared" si="38"/>
        <v/>
      </c>
      <c r="F294" s="90" t="str">
        <f t="shared" si="39"/>
        <v/>
      </c>
      <c r="G294" s="90" t="str">
        <f t="shared" si="40"/>
        <v/>
      </c>
      <c r="H294" s="90" t="str">
        <f t="shared" si="41"/>
        <v/>
      </c>
      <c r="I294" s="90" t="str">
        <f t="shared" si="42"/>
        <v/>
      </c>
      <c r="J294" s="90" t="str">
        <f t="shared" si="43"/>
        <v/>
      </c>
    </row>
    <row r="295" spans="2:10" x14ac:dyDescent="0.25">
      <c r="B295" s="78" t="str">
        <f t="shared" si="37"/>
        <v/>
      </c>
      <c r="C295" s="383" t="str">
        <f t="shared" si="44"/>
        <v/>
      </c>
      <c r="D295" s="90" t="str">
        <f t="shared" si="45"/>
        <v/>
      </c>
      <c r="E295" s="90" t="str">
        <f t="shared" si="38"/>
        <v/>
      </c>
      <c r="F295" s="90" t="str">
        <f t="shared" si="39"/>
        <v/>
      </c>
      <c r="G295" s="90" t="str">
        <f t="shared" si="40"/>
        <v/>
      </c>
      <c r="H295" s="90" t="str">
        <f t="shared" si="41"/>
        <v/>
      </c>
      <c r="I295" s="90" t="str">
        <f t="shared" si="42"/>
        <v/>
      </c>
      <c r="J295" s="90" t="str">
        <f t="shared" si="43"/>
        <v/>
      </c>
    </row>
    <row r="296" spans="2:10" x14ac:dyDescent="0.25">
      <c r="B296" s="78" t="str">
        <f t="shared" si="37"/>
        <v/>
      </c>
      <c r="C296" s="383" t="str">
        <f t="shared" si="44"/>
        <v/>
      </c>
      <c r="D296" s="90" t="str">
        <f t="shared" si="45"/>
        <v/>
      </c>
      <c r="E296" s="90" t="str">
        <f t="shared" si="38"/>
        <v/>
      </c>
      <c r="F296" s="90" t="str">
        <f t="shared" si="39"/>
        <v/>
      </c>
      <c r="G296" s="90" t="str">
        <f t="shared" si="40"/>
        <v/>
      </c>
      <c r="H296" s="90" t="str">
        <f t="shared" si="41"/>
        <v/>
      </c>
      <c r="I296" s="90" t="str">
        <f t="shared" si="42"/>
        <v/>
      </c>
      <c r="J296" s="90" t="str">
        <f t="shared" si="43"/>
        <v/>
      </c>
    </row>
    <row r="297" spans="2:10" x14ac:dyDescent="0.25">
      <c r="B297" s="78" t="str">
        <f t="shared" si="37"/>
        <v/>
      </c>
      <c r="C297" s="383" t="str">
        <f t="shared" si="44"/>
        <v/>
      </c>
      <c r="D297" s="90" t="str">
        <f t="shared" si="45"/>
        <v/>
      </c>
      <c r="E297" s="90" t="str">
        <f t="shared" si="38"/>
        <v/>
      </c>
      <c r="F297" s="90" t="str">
        <f t="shared" si="39"/>
        <v/>
      </c>
      <c r="G297" s="90" t="str">
        <f t="shared" si="40"/>
        <v/>
      </c>
      <c r="H297" s="90" t="str">
        <f t="shared" si="41"/>
        <v/>
      </c>
      <c r="I297" s="90" t="str">
        <f t="shared" si="42"/>
        <v/>
      </c>
      <c r="J297" s="90" t="str">
        <f t="shared" si="43"/>
        <v/>
      </c>
    </row>
    <row r="298" spans="2:10" x14ac:dyDescent="0.25">
      <c r="B298" s="78" t="str">
        <f t="shared" si="37"/>
        <v/>
      </c>
      <c r="C298" s="383" t="str">
        <f t="shared" si="44"/>
        <v/>
      </c>
      <c r="D298" s="90" t="str">
        <f t="shared" si="45"/>
        <v/>
      </c>
      <c r="E298" s="90" t="str">
        <f t="shared" si="38"/>
        <v/>
      </c>
      <c r="F298" s="90" t="str">
        <f t="shared" si="39"/>
        <v/>
      </c>
      <c r="G298" s="90" t="str">
        <f t="shared" si="40"/>
        <v/>
      </c>
      <c r="H298" s="90" t="str">
        <f t="shared" si="41"/>
        <v/>
      </c>
      <c r="I298" s="90" t="str">
        <f t="shared" si="42"/>
        <v/>
      </c>
      <c r="J298" s="90" t="str">
        <f t="shared" si="43"/>
        <v/>
      </c>
    </row>
    <row r="299" spans="2:10" x14ac:dyDescent="0.25">
      <c r="B299" s="78" t="str">
        <f t="shared" si="37"/>
        <v/>
      </c>
      <c r="C299" s="383" t="str">
        <f t="shared" si="44"/>
        <v/>
      </c>
      <c r="D299" s="90" t="str">
        <f t="shared" si="45"/>
        <v/>
      </c>
      <c r="E299" s="90" t="str">
        <f t="shared" si="38"/>
        <v/>
      </c>
      <c r="F299" s="90" t="str">
        <f t="shared" si="39"/>
        <v/>
      </c>
      <c r="G299" s="90" t="str">
        <f t="shared" si="40"/>
        <v/>
      </c>
      <c r="H299" s="90" t="str">
        <f t="shared" si="41"/>
        <v/>
      </c>
      <c r="I299" s="90" t="str">
        <f t="shared" si="42"/>
        <v/>
      </c>
      <c r="J299" s="90" t="str">
        <f t="shared" si="43"/>
        <v/>
      </c>
    </row>
    <row r="300" spans="2:10" x14ac:dyDescent="0.25">
      <c r="B300" s="78" t="str">
        <f t="shared" si="37"/>
        <v/>
      </c>
      <c r="C300" s="383" t="str">
        <f t="shared" si="44"/>
        <v/>
      </c>
      <c r="D300" s="90" t="str">
        <f t="shared" si="45"/>
        <v/>
      </c>
      <c r="E300" s="90" t="str">
        <f t="shared" si="38"/>
        <v/>
      </c>
      <c r="F300" s="90" t="str">
        <f t="shared" si="39"/>
        <v/>
      </c>
      <c r="G300" s="90" t="str">
        <f t="shared" si="40"/>
        <v/>
      </c>
      <c r="H300" s="90" t="str">
        <f t="shared" si="41"/>
        <v/>
      </c>
      <c r="I300" s="90" t="str">
        <f t="shared" si="42"/>
        <v/>
      </c>
      <c r="J300" s="90" t="str">
        <f t="shared" si="43"/>
        <v/>
      </c>
    </row>
    <row r="301" spans="2:10" x14ac:dyDescent="0.25">
      <c r="B301" s="78" t="str">
        <f t="shared" si="37"/>
        <v/>
      </c>
      <c r="C301" s="383" t="str">
        <f t="shared" si="44"/>
        <v/>
      </c>
      <c r="D301" s="90" t="str">
        <f t="shared" si="45"/>
        <v/>
      </c>
      <c r="E301" s="90" t="str">
        <f t="shared" si="38"/>
        <v/>
      </c>
      <c r="F301" s="90" t="str">
        <f t="shared" si="39"/>
        <v/>
      </c>
      <c r="G301" s="90" t="str">
        <f t="shared" si="40"/>
        <v/>
      </c>
      <c r="H301" s="90" t="str">
        <f t="shared" si="41"/>
        <v/>
      </c>
      <c r="I301" s="90" t="str">
        <f t="shared" si="42"/>
        <v/>
      </c>
      <c r="J301" s="90" t="str">
        <f t="shared" si="43"/>
        <v/>
      </c>
    </row>
    <row r="302" spans="2:10" x14ac:dyDescent="0.25">
      <c r="B302" s="78" t="str">
        <f t="shared" si="37"/>
        <v/>
      </c>
      <c r="C302" s="383" t="str">
        <f t="shared" si="44"/>
        <v/>
      </c>
      <c r="D302" s="90" t="str">
        <f t="shared" si="45"/>
        <v/>
      </c>
      <c r="E302" s="90" t="str">
        <f t="shared" si="38"/>
        <v/>
      </c>
      <c r="F302" s="90" t="str">
        <f t="shared" si="39"/>
        <v/>
      </c>
      <c r="G302" s="90" t="str">
        <f t="shared" si="40"/>
        <v/>
      </c>
      <c r="H302" s="90" t="str">
        <f t="shared" si="41"/>
        <v/>
      </c>
      <c r="I302" s="90" t="str">
        <f t="shared" si="42"/>
        <v/>
      </c>
      <c r="J302" s="90" t="str">
        <f t="shared" si="43"/>
        <v/>
      </c>
    </row>
    <row r="303" spans="2:10" x14ac:dyDescent="0.25">
      <c r="B303" s="78" t="str">
        <f t="shared" si="37"/>
        <v/>
      </c>
      <c r="C303" s="383" t="str">
        <f t="shared" si="44"/>
        <v/>
      </c>
      <c r="D303" s="90" t="str">
        <f t="shared" si="45"/>
        <v/>
      </c>
      <c r="E303" s="90" t="str">
        <f t="shared" si="38"/>
        <v/>
      </c>
      <c r="F303" s="90" t="str">
        <f t="shared" si="39"/>
        <v/>
      </c>
      <c r="G303" s="90" t="str">
        <f t="shared" si="40"/>
        <v/>
      </c>
      <c r="H303" s="90" t="str">
        <f t="shared" si="41"/>
        <v/>
      </c>
      <c r="I303" s="90" t="str">
        <f t="shared" si="42"/>
        <v/>
      </c>
      <c r="J303" s="90" t="str">
        <f t="shared" si="43"/>
        <v/>
      </c>
    </row>
    <row r="304" spans="2:10" x14ac:dyDescent="0.25">
      <c r="B304" s="78" t="str">
        <f t="shared" si="37"/>
        <v/>
      </c>
      <c r="C304" s="383" t="str">
        <f t="shared" si="44"/>
        <v/>
      </c>
      <c r="D304" s="90" t="str">
        <f t="shared" si="45"/>
        <v/>
      </c>
      <c r="E304" s="90" t="str">
        <f t="shared" si="38"/>
        <v/>
      </c>
      <c r="F304" s="90" t="str">
        <f t="shared" si="39"/>
        <v/>
      </c>
      <c r="G304" s="90" t="str">
        <f t="shared" si="40"/>
        <v/>
      </c>
      <c r="H304" s="90" t="str">
        <f t="shared" si="41"/>
        <v/>
      </c>
      <c r="I304" s="90" t="str">
        <f t="shared" si="42"/>
        <v/>
      </c>
      <c r="J304" s="90" t="str">
        <f t="shared" si="43"/>
        <v/>
      </c>
    </row>
    <row r="305" spans="2:10" x14ac:dyDescent="0.25">
      <c r="B305" s="78" t="str">
        <f t="shared" si="37"/>
        <v/>
      </c>
      <c r="C305" s="383" t="str">
        <f t="shared" si="44"/>
        <v/>
      </c>
      <c r="D305" s="90" t="str">
        <f t="shared" si="45"/>
        <v/>
      </c>
      <c r="E305" s="90" t="str">
        <f t="shared" si="38"/>
        <v/>
      </c>
      <c r="F305" s="90" t="str">
        <f t="shared" si="39"/>
        <v/>
      </c>
      <c r="G305" s="90" t="str">
        <f t="shared" si="40"/>
        <v/>
      </c>
      <c r="H305" s="90" t="str">
        <f t="shared" si="41"/>
        <v/>
      </c>
      <c r="I305" s="90" t="str">
        <f t="shared" si="42"/>
        <v/>
      </c>
      <c r="J305" s="90" t="str">
        <f t="shared" si="43"/>
        <v/>
      </c>
    </row>
    <row r="306" spans="2:10" x14ac:dyDescent="0.25">
      <c r="B306" s="78" t="str">
        <f t="shared" si="37"/>
        <v/>
      </c>
      <c r="C306" s="383" t="str">
        <f t="shared" si="44"/>
        <v/>
      </c>
      <c r="D306" s="90" t="str">
        <f t="shared" si="45"/>
        <v/>
      </c>
      <c r="E306" s="90" t="str">
        <f t="shared" si="38"/>
        <v/>
      </c>
      <c r="F306" s="90" t="str">
        <f t="shared" si="39"/>
        <v/>
      </c>
      <c r="G306" s="90" t="str">
        <f t="shared" si="40"/>
        <v/>
      </c>
      <c r="H306" s="90" t="str">
        <f t="shared" si="41"/>
        <v/>
      </c>
      <c r="I306" s="90" t="str">
        <f t="shared" si="42"/>
        <v/>
      </c>
      <c r="J306" s="90" t="str">
        <f t="shared" si="43"/>
        <v/>
      </c>
    </row>
    <row r="307" spans="2:10" x14ac:dyDescent="0.25">
      <c r="B307" s="78" t="str">
        <f t="shared" si="37"/>
        <v/>
      </c>
      <c r="C307" s="383" t="str">
        <f t="shared" si="44"/>
        <v/>
      </c>
      <c r="D307" s="90" t="str">
        <f t="shared" si="45"/>
        <v/>
      </c>
      <c r="E307" s="90" t="str">
        <f t="shared" si="38"/>
        <v/>
      </c>
      <c r="F307" s="90" t="str">
        <f t="shared" si="39"/>
        <v/>
      </c>
      <c r="G307" s="90" t="str">
        <f t="shared" si="40"/>
        <v/>
      </c>
      <c r="H307" s="90" t="str">
        <f t="shared" si="41"/>
        <v/>
      </c>
      <c r="I307" s="90" t="str">
        <f t="shared" si="42"/>
        <v/>
      </c>
      <c r="J307" s="90" t="str">
        <f t="shared" si="43"/>
        <v/>
      </c>
    </row>
    <row r="308" spans="2:10" x14ac:dyDescent="0.25">
      <c r="B308" s="78" t="str">
        <f t="shared" si="37"/>
        <v/>
      </c>
      <c r="C308" s="383" t="str">
        <f t="shared" si="44"/>
        <v/>
      </c>
      <c r="D308" s="90" t="str">
        <f t="shared" si="45"/>
        <v/>
      </c>
      <c r="E308" s="90" t="str">
        <f t="shared" si="38"/>
        <v/>
      </c>
      <c r="F308" s="90" t="str">
        <f t="shared" si="39"/>
        <v/>
      </c>
      <c r="G308" s="90" t="str">
        <f t="shared" si="40"/>
        <v/>
      </c>
      <c r="H308" s="90" t="str">
        <f t="shared" si="41"/>
        <v/>
      </c>
      <c r="I308" s="90" t="str">
        <f t="shared" si="42"/>
        <v/>
      </c>
      <c r="J308" s="90" t="str">
        <f t="shared" si="43"/>
        <v/>
      </c>
    </row>
    <row r="309" spans="2:10" x14ac:dyDescent="0.25">
      <c r="B309" s="78" t="str">
        <f t="shared" si="37"/>
        <v/>
      </c>
      <c r="C309" s="383" t="str">
        <f t="shared" si="44"/>
        <v/>
      </c>
      <c r="D309" s="90" t="str">
        <f t="shared" si="45"/>
        <v/>
      </c>
      <c r="E309" s="90" t="str">
        <f t="shared" si="38"/>
        <v/>
      </c>
      <c r="F309" s="90" t="str">
        <f t="shared" si="39"/>
        <v/>
      </c>
      <c r="G309" s="90" t="str">
        <f t="shared" si="40"/>
        <v/>
      </c>
      <c r="H309" s="90" t="str">
        <f t="shared" si="41"/>
        <v/>
      </c>
      <c r="I309" s="90" t="str">
        <f t="shared" si="42"/>
        <v/>
      </c>
      <c r="J309" s="90" t="str">
        <f t="shared" si="43"/>
        <v/>
      </c>
    </row>
    <row r="310" spans="2:10" x14ac:dyDescent="0.25">
      <c r="B310" s="78" t="str">
        <f t="shared" si="37"/>
        <v/>
      </c>
      <c r="C310" s="383" t="str">
        <f t="shared" si="44"/>
        <v/>
      </c>
      <c r="D310" s="90" t="str">
        <f t="shared" si="45"/>
        <v/>
      </c>
      <c r="E310" s="90" t="str">
        <f t="shared" si="38"/>
        <v/>
      </c>
      <c r="F310" s="90" t="str">
        <f t="shared" si="39"/>
        <v/>
      </c>
      <c r="G310" s="90" t="str">
        <f t="shared" si="40"/>
        <v/>
      </c>
      <c r="H310" s="90" t="str">
        <f t="shared" si="41"/>
        <v/>
      </c>
      <c r="I310" s="90" t="str">
        <f t="shared" si="42"/>
        <v/>
      </c>
      <c r="J310" s="90" t="str">
        <f t="shared" si="43"/>
        <v/>
      </c>
    </row>
    <row r="311" spans="2:10" x14ac:dyDescent="0.25">
      <c r="B311" s="78" t="str">
        <f t="shared" si="37"/>
        <v/>
      </c>
      <c r="C311" s="383" t="str">
        <f t="shared" si="44"/>
        <v/>
      </c>
      <c r="D311" s="90" t="str">
        <f t="shared" si="45"/>
        <v/>
      </c>
      <c r="E311" s="90" t="str">
        <f t="shared" si="38"/>
        <v/>
      </c>
      <c r="F311" s="90" t="str">
        <f t="shared" si="39"/>
        <v/>
      </c>
      <c r="G311" s="90" t="str">
        <f t="shared" si="40"/>
        <v/>
      </c>
      <c r="H311" s="90" t="str">
        <f t="shared" si="41"/>
        <v/>
      </c>
      <c r="I311" s="90" t="str">
        <f t="shared" si="42"/>
        <v/>
      </c>
      <c r="J311" s="90" t="str">
        <f t="shared" si="43"/>
        <v/>
      </c>
    </row>
    <row r="312" spans="2:10" x14ac:dyDescent="0.25">
      <c r="B312" s="78" t="str">
        <f t="shared" si="37"/>
        <v/>
      </c>
      <c r="C312" s="383" t="str">
        <f t="shared" si="44"/>
        <v/>
      </c>
      <c r="D312" s="90" t="str">
        <f t="shared" si="45"/>
        <v/>
      </c>
      <c r="E312" s="90" t="str">
        <f t="shared" si="38"/>
        <v/>
      </c>
      <c r="F312" s="90" t="str">
        <f t="shared" si="39"/>
        <v/>
      </c>
      <c r="G312" s="90" t="str">
        <f t="shared" si="40"/>
        <v/>
      </c>
      <c r="H312" s="90" t="str">
        <f t="shared" si="41"/>
        <v/>
      </c>
      <c r="I312" s="90" t="str">
        <f t="shared" si="42"/>
        <v/>
      </c>
      <c r="J312" s="90" t="str">
        <f t="shared" si="43"/>
        <v/>
      </c>
    </row>
    <row r="313" spans="2:10" x14ac:dyDescent="0.25">
      <c r="B313" s="78" t="str">
        <f t="shared" si="37"/>
        <v/>
      </c>
      <c r="C313" s="383" t="str">
        <f t="shared" si="44"/>
        <v/>
      </c>
      <c r="D313" s="90" t="str">
        <f t="shared" si="45"/>
        <v/>
      </c>
      <c r="E313" s="90" t="str">
        <f t="shared" si="38"/>
        <v/>
      </c>
      <c r="F313" s="90" t="str">
        <f t="shared" si="39"/>
        <v/>
      </c>
      <c r="G313" s="90" t="str">
        <f t="shared" si="40"/>
        <v/>
      </c>
      <c r="H313" s="90" t="str">
        <f t="shared" si="41"/>
        <v/>
      </c>
      <c r="I313" s="90" t="str">
        <f t="shared" si="42"/>
        <v/>
      </c>
      <c r="J313" s="90" t="str">
        <f t="shared" si="43"/>
        <v/>
      </c>
    </row>
    <row r="314" spans="2:10" x14ac:dyDescent="0.25">
      <c r="B314" s="78" t="str">
        <f t="shared" si="37"/>
        <v/>
      </c>
      <c r="C314" s="383" t="str">
        <f t="shared" si="44"/>
        <v/>
      </c>
      <c r="D314" s="90" t="str">
        <f t="shared" si="45"/>
        <v/>
      </c>
      <c r="E314" s="90" t="str">
        <f t="shared" si="38"/>
        <v/>
      </c>
      <c r="F314" s="90" t="str">
        <f t="shared" si="39"/>
        <v/>
      </c>
      <c r="G314" s="90" t="str">
        <f t="shared" si="40"/>
        <v/>
      </c>
      <c r="H314" s="90" t="str">
        <f t="shared" si="41"/>
        <v/>
      </c>
      <c r="I314" s="90" t="str">
        <f t="shared" si="42"/>
        <v/>
      </c>
      <c r="J314" s="90" t="str">
        <f t="shared" si="43"/>
        <v/>
      </c>
    </row>
    <row r="315" spans="2:10" x14ac:dyDescent="0.25">
      <c r="B315" s="78" t="str">
        <f t="shared" si="37"/>
        <v/>
      </c>
      <c r="C315" s="383" t="str">
        <f t="shared" si="44"/>
        <v/>
      </c>
      <c r="D315" s="90" t="str">
        <f t="shared" si="45"/>
        <v/>
      </c>
      <c r="E315" s="90" t="str">
        <f t="shared" si="38"/>
        <v/>
      </c>
      <c r="F315" s="90" t="str">
        <f t="shared" si="39"/>
        <v/>
      </c>
      <c r="G315" s="90" t="str">
        <f t="shared" si="40"/>
        <v/>
      </c>
      <c r="H315" s="90" t="str">
        <f t="shared" si="41"/>
        <v/>
      </c>
      <c r="I315" s="90" t="str">
        <f t="shared" si="42"/>
        <v/>
      </c>
      <c r="J315" s="90" t="str">
        <f t="shared" si="43"/>
        <v/>
      </c>
    </row>
    <row r="316" spans="2:10" x14ac:dyDescent="0.25">
      <c r="B316" s="78" t="str">
        <f t="shared" si="37"/>
        <v/>
      </c>
      <c r="C316" s="383" t="str">
        <f t="shared" si="44"/>
        <v/>
      </c>
      <c r="D316" s="90" t="str">
        <f t="shared" si="45"/>
        <v/>
      </c>
      <c r="E316" s="90" t="str">
        <f t="shared" si="38"/>
        <v/>
      </c>
      <c r="F316" s="90" t="str">
        <f t="shared" si="39"/>
        <v/>
      </c>
      <c r="G316" s="90" t="str">
        <f t="shared" si="40"/>
        <v/>
      </c>
      <c r="H316" s="90" t="str">
        <f t="shared" si="41"/>
        <v/>
      </c>
      <c r="I316" s="90" t="str">
        <f t="shared" si="42"/>
        <v/>
      </c>
      <c r="J316" s="90" t="str">
        <f t="shared" si="43"/>
        <v/>
      </c>
    </row>
    <row r="317" spans="2:10" x14ac:dyDescent="0.25">
      <c r="B317" s="78" t="str">
        <f t="shared" si="37"/>
        <v/>
      </c>
      <c r="C317" s="383" t="str">
        <f t="shared" si="44"/>
        <v/>
      </c>
      <c r="D317" s="90" t="str">
        <f t="shared" si="45"/>
        <v/>
      </c>
      <c r="E317" s="90" t="str">
        <f t="shared" si="38"/>
        <v/>
      </c>
      <c r="F317" s="90" t="str">
        <f t="shared" si="39"/>
        <v/>
      </c>
      <c r="G317" s="90" t="str">
        <f t="shared" si="40"/>
        <v/>
      </c>
      <c r="H317" s="90" t="str">
        <f t="shared" si="41"/>
        <v/>
      </c>
      <c r="I317" s="90" t="str">
        <f t="shared" si="42"/>
        <v/>
      </c>
      <c r="J317" s="90" t="str">
        <f t="shared" si="43"/>
        <v/>
      </c>
    </row>
    <row r="318" spans="2:10" x14ac:dyDescent="0.25">
      <c r="B318" s="78" t="str">
        <f t="shared" si="37"/>
        <v/>
      </c>
      <c r="C318" s="383" t="str">
        <f t="shared" si="44"/>
        <v/>
      </c>
      <c r="D318" s="90" t="str">
        <f t="shared" si="45"/>
        <v/>
      </c>
      <c r="E318" s="90" t="str">
        <f t="shared" si="38"/>
        <v/>
      </c>
      <c r="F318" s="90" t="str">
        <f t="shared" si="39"/>
        <v/>
      </c>
      <c r="G318" s="90" t="str">
        <f t="shared" si="40"/>
        <v/>
      </c>
      <c r="H318" s="90" t="str">
        <f t="shared" si="41"/>
        <v/>
      </c>
      <c r="I318" s="90" t="str">
        <f t="shared" si="42"/>
        <v/>
      </c>
      <c r="J318" s="90" t="str">
        <f t="shared" si="43"/>
        <v/>
      </c>
    </row>
    <row r="319" spans="2:10" x14ac:dyDescent="0.25">
      <c r="B319" s="78" t="str">
        <f t="shared" si="37"/>
        <v/>
      </c>
      <c r="C319" s="383" t="str">
        <f t="shared" si="44"/>
        <v/>
      </c>
      <c r="D319" s="90" t="str">
        <f t="shared" si="45"/>
        <v/>
      </c>
      <c r="E319" s="90" t="str">
        <f t="shared" si="38"/>
        <v/>
      </c>
      <c r="F319" s="90" t="str">
        <f t="shared" si="39"/>
        <v/>
      </c>
      <c r="G319" s="90" t="str">
        <f t="shared" si="40"/>
        <v/>
      </c>
      <c r="H319" s="90" t="str">
        <f t="shared" si="41"/>
        <v/>
      </c>
      <c r="I319" s="90" t="str">
        <f t="shared" si="42"/>
        <v/>
      </c>
      <c r="J319" s="90" t="str">
        <f t="shared" si="43"/>
        <v/>
      </c>
    </row>
    <row r="320" spans="2:10" x14ac:dyDescent="0.25">
      <c r="B320" s="78" t="str">
        <f t="shared" si="37"/>
        <v/>
      </c>
      <c r="C320" s="383" t="str">
        <f t="shared" si="44"/>
        <v/>
      </c>
      <c r="D320" s="90" t="str">
        <f t="shared" si="45"/>
        <v/>
      </c>
      <c r="E320" s="90" t="str">
        <f t="shared" si="38"/>
        <v/>
      </c>
      <c r="F320" s="90" t="str">
        <f t="shared" si="39"/>
        <v/>
      </c>
      <c r="G320" s="90" t="str">
        <f t="shared" si="40"/>
        <v/>
      </c>
      <c r="H320" s="90" t="str">
        <f t="shared" si="41"/>
        <v/>
      </c>
      <c r="I320" s="90" t="str">
        <f t="shared" si="42"/>
        <v/>
      </c>
      <c r="J320" s="90" t="str">
        <f t="shared" si="43"/>
        <v/>
      </c>
    </row>
    <row r="321" spans="2:10" x14ac:dyDescent="0.25">
      <c r="B321" s="78" t="str">
        <f t="shared" si="37"/>
        <v/>
      </c>
      <c r="C321" s="383" t="str">
        <f t="shared" si="44"/>
        <v/>
      </c>
      <c r="D321" s="90" t="str">
        <f t="shared" si="45"/>
        <v/>
      </c>
      <c r="E321" s="90" t="str">
        <f t="shared" si="38"/>
        <v/>
      </c>
      <c r="F321" s="90" t="str">
        <f t="shared" si="39"/>
        <v/>
      </c>
      <c r="G321" s="90" t="str">
        <f t="shared" si="40"/>
        <v/>
      </c>
      <c r="H321" s="90" t="str">
        <f t="shared" si="41"/>
        <v/>
      </c>
      <c r="I321" s="90" t="str">
        <f t="shared" si="42"/>
        <v/>
      </c>
      <c r="J321" s="90" t="str">
        <f t="shared" si="43"/>
        <v/>
      </c>
    </row>
    <row r="322" spans="2:10" x14ac:dyDescent="0.25">
      <c r="B322" s="78" t="str">
        <f t="shared" si="37"/>
        <v/>
      </c>
      <c r="C322" s="383" t="str">
        <f t="shared" si="44"/>
        <v/>
      </c>
      <c r="D322" s="90" t="str">
        <f t="shared" si="45"/>
        <v/>
      </c>
      <c r="E322" s="90" t="str">
        <f t="shared" si="38"/>
        <v/>
      </c>
      <c r="F322" s="90" t="str">
        <f t="shared" si="39"/>
        <v/>
      </c>
      <c r="G322" s="90" t="str">
        <f t="shared" si="40"/>
        <v/>
      </c>
      <c r="H322" s="90" t="str">
        <f t="shared" si="41"/>
        <v/>
      </c>
      <c r="I322" s="90" t="str">
        <f t="shared" si="42"/>
        <v/>
      </c>
      <c r="J322" s="90" t="str">
        <f t="shared" si="43"/>
        <v/>
      </c>
    </row>
    <row r="323" spans="2:10" x14ac:dyDescent="0.25">
      <c r="B323" s="78" t="str">
        <f t="shared" si="37"/>
        <v/>
      </c>
      <c r="C323" s="383" t="str">
        <f t="shared" si="44"/>
        <v/>
      </c>
      <c r="D323" s="90" t="str">
        <f t="shared" si="45"/>
        <v/>
      </c>
      <c r="E323" s="90" t="str">
        <f t="shared" si="38"/>
        <v/>
      </c>
      <c r="F323" s="90" t="str">
        <f t="shared" si="39"/>
        <v/>
      </c>
      <c r="G323" s="90" t="str">
        <f t="shared" si="40"/>
        <v/>
      </c>
      <c r="H323" s="90" t="str">
        <f t="shared" si="41"/>
        <v/>
      </c>
      <c r="I323" s="90" t="str">
        <f t="shared" si="42"/>
        <v/>
      </c>
      <c r="J323" s="90" t="str">
        <f t="shared" si="43"/>
        <v/>
      </c>
    </row>
    <row r="324" spans="2:10" x14ac:dyDescent="0.25">
      <c r="B324" s="78" t="str">
        <f t="shared" si="37"/>
        <v/>
      </c>
      <c r="C324" s="383" t="str">
        <f t="shared" si="44"/>
        <v/>
      </c>
      <c r="D324" s="90" t="str">
        <f t="shared" si="45"/>
        <v/>
      </c>
      <c r="E324" s="90" t="str">
        <f t="shared" si="38"/>
        <v/>
      </c>
      <c r="F324" s="90" t="str">
        <f t="shared" si="39"/>
        <v/>
      </c>
      <c r="G324" s="90" t="str">
        <f t="shared" si="40"/>
        <v/>
      </c>
      <c r="H324" s="90" t="str">
        <f t="shared" si="41"/>
        <v/>
      </c>
      <c r="I324" s="90" t="str">
        <f t="shared" si="42"/>
        <v/>
      </c>
      <c r="J324" s="90" t="str">
        <f t="shared" si="43"/>
        <v/>
      </c>
    </row>
    <row r="325" spans="2:10" x14ac:dyDescent="0.25">
      <c r="B325" s="78" t="str">
        <f t="shared" si="37"/>
        <v/>
      </c>
      <c r="C325" s="383" t="str">
        <f t="shared" si="44"/>
        <v/>
      </c>
      <c r="D325" s="90" t="str">
        <f t="shared" si="45"/>
        <v/>
      </c>
      <c r="E325" s="90" t="str">
        <f t="shared" si="38"/>
        <v/>
      </c>
      <c r="F325" s="90" t="str">
        <f t="shared" si="39"/>
        <v/>
      </c>
      <c r="G325" s="90" t="str">
        <f t="shared" si="40"/>
        <v/>
      </c>
      <c r="H325" s="90" t="str">
        <f t="shared" si="41"/>
        <v/>
      </c>
      <c r="I325" s="90" t="str">
        <f t="shared" si="42"/>
        <v/>
      </c>
      <c r="J325" s="90" t="str">
        <f t="shared" si="43"/>
        <v/>
      </c>
    </row>
    <row r="326" spans="2:10" x14ac:dyDescent="0.25">
      <c r="B326" s="78" t="str">
        <f t="shared" si="37"/>
        <v/>
      </c>
      <c r="C326" s="383" t="str">
        <f t="shared" si="44"/>
        <v/>
      </c>
      <c r="D326" s="90" t="str">
        <f t="shared" si="45"/>
        <v/>
      </c>
      <c r="E326" s="90" t="str">
        <f t="shared" si="38"/>
        <v/>
      </c>
      <c r="F326" s="90" t="str">
        <f t="shared" si="39"/>
        <v/>
      </c>
      <c r="G326" s="90" t="str">
        <f t="shared" si="40"/>
        <v/>
      </c>
      <c r="H326" s="90" t="str">
        <f t="shared" si="41"/>
        <v/>
      </c>
      <c r="I326" s="90" t="str">
        <f t="shared" si="42"/>
        <v/>
      </c>
      <c r="J326" s="90" t="str">
        <f t="shared" si="43"/>
        <v/>
      </c>
    </row>
    <row r="327" spans="2:10" x14ac:dyDescent="0.25">
      <c r="B327" s="78" t="str">
        <f t="shared" si="37"/>
        <v/>
      </c>
      <c r="C327" s="383" t="str">
        <f t="shared" si="44"/>
        <v/>
      </c>
      <c r="D327" s="90" t="str">
        <f t="shared" si="45"/>
        <v/>
      </c>
      <c r="E327" s="90" t="str">
        <f t="shared" si="38"/>
        <v/>
      </c>
      <c r="F327" s="90" t="str">
        <f t="shared" si="39"/>
        <v/>
      </c>
      <c r="G327" s="90" t="str">
        <f t="shared" si="40"/>
        <v/>
      </c>
      <c r="H327" s="90" t="str">
        <f t="shared" si="41"/>
        <v/>
      </c>
      <c r="I327" s="90" t="str">
        <f t="shared" si="42"/>
        <v/>
      </c>
      <c r="J327" s="90" t="str">
        <f t="shared" si="43"/>
        <v/>
      </c>
    </row>
    <row r="328" spans="2:10" x14ac:dyDescent="0.25">
      <c r="B328" s="78" t="str">
        <f t="shared" si="37"/>
        <v/>
      </c>
      <c r="C328" s="383" t="str">
        <f t="shared" si="44"/>
        <v/>
      </c>
      <c r="D328" s="90" t="str">
        <f t="shared" si="45"/>
        <v/>
      </c>
      <c r="E328" s="90" t="str">
        <f t="shared" si="38"/>
        <v/>
      </c>
      <c r="F328" s="90" t="str">
        <f t="shared" si="39"/>
        <v/>
      </c>
      <c r="G328" s="90" t="str">
        <f t="shared" si="40"/>
        <v/>
      </c>
      <c r="H328" s="90" t="str">
        <f t="shared" si="41"/>
        <v/>
      </c>
      <c r="I328" s="90" t="str">
        <f t="shared" si="42"/>
        <v/>
      </c>
      <c r="J328" s="90" t="str">
        <f t="shared" si="43"/>
        <v/>
      </c>
    </row>
    <row r="329" spans="2:10" x14ac:dyDescent="0.25">
      <c r="B329" s="78" t="str">
        <f t="shared" si="37"/>
        <v/>
      </c>
      <c r="C329" s="383" t="str">
        <f t="shared" si="44"/>
        <v/>
      </c>
      <c r="D329" s="90" t="str">
        <f t="shared" si="45"/>
        <v/>
      </c>
      <c r="E329" s="90" t="str">
        <f t="shared" si="38"/>
        <v/>
      </c>
      <c r="F329" s="90" t="str">
        <f t="shared" si="39"/>
        <v/>
      </c>
      <c r="G329" s="90" t="str">
        <f t="shared" si="40"/>
        <v/>
      </c>
      <c r="H329" s="90" t="str">
        <f t="shared" si="41"/>
        <v/>
      </c>
      <c r="I329" s="90" t="str">
        <f t="shared" si="42"/>
        <v/>
      </c>
      <c r="J329" s="90" t="str">
        <f t="shared" si="43"/>
        <v/>
      </c>
    </row>
    <row r="330" spans="2:10" x14ac:dyDescent="0.25">
      <c r="B330" s="78" t="str">
        <f t="shared" si="37"/>
        <v/>
      </c>
      <c r="C330" s="383" t="str">
        <f t="shared" si="44"/>
        <v/>
      </c>
      <c r="D330" s="90" t="str">
        <f t="shared" si="45"/>
        <v/>
      </c>
      <c r="E330" s="90" t="str">
        <f t="shared" si="38"/>
        <v/>
      </c>
      <c r="F330" s="90" t="str">
        <f t="shared" si="39"/>
        <v/>
      </c>
      <c r="G330" s="90" t="str">
        <f t="shared" si="40"/>
        <v/>
      </c>
      <c r="H330" s="90" t="str">
        <f t="shared" si="41"/>
        <v/>
      </c>
      <c r="I330" s="90" t="str">
        <f t="shared" si="42"/>
        <v/>
      </c>
      <c r="J330" s="90" t="str">
        <f t="shared" si="43"/>
        <v/>
      </c>
    </row>
    <row r="331" spans="2:10" x14ac:dyDescent="0.25">
      <c r="B331" s="78" t="str">
        <f t="shared" si="37"/>
        <v/>
      </c>
      <c r="C331" s="383" t="str">
        <f t="shared" si="44"/>
        <v/>
      </c>
      <c r="D331" s="90" t="str">
        <f t="shared" si="45"/>
        <v/>
      </c>
      <c r="E331" s="90" t="str">
        <f t="shared" si="38"/>
        <v/>
      </c>
      <c r="F331" s="90" t="str">
        <f t="shared" si="39"/>
        <v/>
      </c>
      <c r="G331" s="90" t="str">
        <f t="shared" si="40"/>
        <v/>
      </c>
      <c r="H331" s="90" t="str">
        <f t="shared" si="41"/>
        <v/>
      </c>
      <c r="I331" s="90" t="str">
        <f t="shared" si="42"/>
        <v/>
      </c>
      <c r="J331" s="90" t="str">
        <f t="shared" si="43"/>
        <v/>
      </c>
    </row>
    <row r="332" spans="2:10" x14ac:dyDescent="0.25">
      <c r="B332" s="78" t="str">
        <f t="shared" si="37"/>
        <v/>
      </c>
      <c r="C332" s="383" t="str">
        <f t="shared" si="44"/>
        <v/>
      </c>
      <c r="D332" s="90" t="str">
        <f t="shared" si="45"/>
        <v/>
      </c>
      <c r="E332" s="90" t="str">
        <f t="shared" si="38"/>
        <v/>
      </c>
      <c r="F332" s="90" t="str">
        <f t="shared" si="39"/>
        <v/>
      </c>
      <c r="G332" s="90" t="str">
        <f t="shared" si="40"/>
        <v/>
      </c>
      <c r="H332" s="90" t="str">
        <f t="shared" si="41"/>
        <v/>
      </c>
      <c r="I332" s="90" t="str">
        <f t="shared" si="42"/>
        <v/>
      </c>
      <c r="J332" s="90" t="str">
        <f t="shared" si="43"/>
        <v/>
      </c>
    </row>
    <row r="333" spans="2:10" x14ac:dyDescent="0.25">
      <c r="B333" s="78" t="str">
        <f t="shared" si="37"/>
        <v/>
      </c>
      <c r="C333" s="383" t="str">
        <f t="shared" si="44"/>
        <v/>
      </c>
      <c r="D333" s="90" t="str">
        <f t="shared" si="45"/>
        <v/>
      </c>
      <c r="E333" s="90" t="str">
        <f t="shared" si="38"/>
        <v/>
      </c>
      <c r="F333" s="90" t="str">
        <f t="shared" si="39"/>
        <v/>
      </c>
      <c r="G333" s="90" t="str">
        <f t="shared" si="40"/>
        <v/>
      </c>
      <c r="H333" s="90" t="str">
        <f t="shared" si="41"/>
        <v/>
      </c>
      <c r="I333" s="90" t="str">
        <f t="shared" si="42"/>
        <v/>
      </c>
      <c r="J333" s="90" t="str">
        <f t="shared" si="43"/>
        <v/>
      </c>
    </row>
    <row r="334" spans="2:10" x14ac:dyDescent="0.25">
      <c r="B334" s="78" t="str">
        <f t="shared" si="37"/>
        <v/>
      </c>
      <c r="C334" s="383" t="str">
        <f t="shared" si="44"/>
        <v/>
      </c>
      <c r="D334" s="90" t="str">
        <f t="shared" si="45"/>
        <v/>
      </c>
      <c r="E334" s="90" t="str">
        <f t="shared" si="38"/>
        <v/>
      </c>
      <c r="F334" s="90" t="str">
        <f t="shared" si="39"/>
        <v/>
      </c>
      <c r="G334" s="90" t="str">
        <f t="shared" si="40"/>
        <v/>
      </c>
      <c r="H334" s="90" t="str">
        <f t="shared" si="41"/>
        <v/>
      </c>
      <c r="I334" s="90" t="str">
        <f t="shared" si="42"/>
        <v/>
      </c>
      <c r="J334" s="90" t="str">
        <f t="shared" si="43"/>
        <v/>
      </c>
    </row>
    <row r="335" spans="2:10" x14ac:dyDescent="0.25">
      <c r="B335" s="78" t="str">
        <f t="shared" si="37"/>
        <v/>
      </c>
      <c r="C335" s="383" t="str">
        <f t="shared" si="44"/>
        <v/>
      </c>
      <c r="D335" s="90" t="str">
        <f t="shared" si="45"/>
        <v/>
      </c>
      <c r="E335" s="90" t="str">
        <f t="shared" si="38"/>
        <v/>
      </c>
      <c r="F335" s="90" t="str">
        <f t="shared" si="39"/>
        <v/>
      </c>
      <c r="G335" s="90" t="str">
        <f t="shared" si="40"/>
        <v/>
      </c>
      <c r="H335" s="90" t="str">
        <f t="shared" si="41"/>
        <v/>
      </c>
      <c r="I335" s="90" t="str">
        <f t="shared" si="42"/>
        <v/>
      </c>
      <c r="J335" s="90" t="str">
        <f t="shared" si="43"/>
        <v/>
      </c>
    </row>
    <row r="336" spans="2:10" x14ac:dyDescent="0.25">
      <c r="B336" s="78" t="str">
        <f t="shared" si="37"/>
        <v/>
      </c>
      <c r="C336" s="383" t="str">
        <f t="shared" si="44"/>
        <v/>
      </c>
      <c r="D336" s="90" t="str">
        <f t="shared" si="45"/>
        <v/>
      </c>
      <c r="E336" s="90" t="str">
        <f t="shared" si="38"/>
        <v/>
      </c>
      <c r="F336" s="90" t="str">
        <f t="shared" si="39"/>
        <v/>
      </c>
      <c r="G336" s="90" t="str">
        <f t="shared" si="40"/>
        <v/>
      </c>
      <c r="H336" s="90" t="str">
        <f t="shared" si="41"/>
        <v/>
      </c>
      <c r="I336" s="90" t="str">
        <f t="shared" si="42"/>
        <v/>
      </c>
      <c r="J336" s="90" t="str">
        <f t="shared" si="43"/>
        <v/>
      </c>
    </row>
    <row r="337" spans="2:10" x14ac:dyDescent="0.25">
      <c r="B337" s="78" t="str">
        <f t="shared" si="37"/>
        <v/>
      </c>
      <c r="C337" s="383" t="str">
        <f t="shared" si="44"/>
        <v/>
      </c>
      <c r="D337" s="90" t="str">
        <f t="shared" si="45"/>
        <v/>
      </c>
      <c r="E337" s="90" t="str">
        <f t="shared" si="38"/>
        <v/>
      </c>
      <c r="F337" s="90" t="str">
        <f t="shared" si="39"/>
        <v/>
      </c>
      <c r="G337" s="90" t="str">
        <f t="shared" si="40"/>
        <v/>
      </c>
      <c r="H337" s="90" t="str">
        <f t="shared" si="41"/>
        <v/>
      </c>
      <c r="I337" s="90" t="str">
        <f t="shared" si="42"/>
        <v/>
      </c>
      <c r="J337" s="90" t="str">
        <f t="shared" si="43"/>
        <v/>
      </c>
    </row>
    <row r="338" spans="2:10" x14ac:dyDescent="0.25">
      <c r="B338" s="78" t="str">
        <f t="shared" si="37"/>
        <v/>
      </c>
      <c r="C338" s="383" t="str">
        <f t="shared" si="44"/>
        <v/>
      </c>
      <c r="D338" s="90" t="str">
        <f t="shared" si="45"/>
        <v/>
      </c>
      <c r="E338" s="90" t="str">
        <f t="shared" si="38"/>
        <v/>
      </c>
      <c r="F338" s="90" t="str">
        <f t="shared" si="39"/>
        <v/>
      </c>
      <c r="G338" s="90" t="str">
        <f t="shared" si="40"/>
        <v/>
      </c>
      <c r="H338" s="90" t="str">
        <f t="shared" si="41"/>
        <v/>
      </c>
      <c r="I338" s="90" t="str">
        <f t="shared" si="42"/>
        <v/>
      </c>
      <c r="J338" s="90" t="str">
        <f t="shared" si="43"/>
        <v/>
      </c>
    </row>
    <row r="339" spans="2:10" x14ac:dyDescent="0.25">
      <c r="B339" s="78" t="str">
        <f t="shared" si="37"/>
        <v/>
      </c>
      <c r="C339" s="383" t="str">
        <f t="shared" si="44"/>
        <v/>
      </c>
      <c r="D339" s="90" t="str">
        <f t="shared" si="45"/>
        <v/>
      </c>
      <c r="E339" s="90" t="str">
        <f t="shared" si="38"/>
        <v/>
      </c>
      <c r="F339" s="90" t="str">
        <f t="shared" si="39"/>
        <v/>
      </c>
      <c r="G339" s="90" t="str">
        <f t="shared" si="40"/>
        <v/>
      </c>
      <c r="H339" s="90" t="str">
        <f t="shared" si="41"/>
        <v/>
      </c>
      <c r="I339" s="90" t="str">
        <f t="shared" si="42"/>
        <v/>
      </c>
      <c r="J339" s="90" t="str">
        <f t="shared" si="43"/>
        <v/>
      </c>
    </row>
    <row r="340" spans="2:10" x14ac:dyDescent="0.25">
      <c r="B340" s="78" t="str">
        <f t="shared" si="37"/>
        <v/>
      </c>
      <c r="C340" s="383" t="str">
        <f t="shared" si="44"/>
        <v/>
      </c>
      <c r="D340" s="90" t="str">
        <f t="shared" si="45"/>
        <v/>
      </c>
      <c r="E340" s="90" t="str">
        <f t="shared" si="38"/>
        <v/>
      </c>
      <c r="F340" s="90" t="str">
        <f t="shared" si="39"/>
        <v/>
      </c>
      <c r="G340" s="90" t="str">
        <f t="shared" si="40"/>
        <v/>
      </c>
      <c r="H340" s="90" t="str">
        <f t="shared" si="41"/>
        <v/>
      </c>
      <c r="I340" s="90" t="str">
        <f t="shared" si="42"/>
        <v/>
      </c>
      <c r="J340" s="90" t="str">
        <f t="shared" si="43"/>
        <v/>
      </c>
    </row>
    <row r="341" spans="2:10" x14ac:dyDescent="0.25">
      <c r="B341" s="78" t="str">
        <f t="shared" si="37"/>
        <v/>
      </c>
      <c r="C341" s="383" t="str">
        <f t="shared" si="44"/>
        <v/>
      </c>
      <c r="D341" s="90" t="str">
        <f t="shared" si="45"/>
        <v/>
      </c>
      <c r="E341" s="90" t="str">
        <f t="shared" si="38"/>
        <v/>
      </c>
      <c r="F341" s="90" t="str">
        <f t="shared" si="39"/>
        <v/>
      </c>
      <c r="G341" s="90" t="str">
        <f t="shared" si="40"/>
        <v/>
      </c>
      <c r="H341" s="90" t="str">
        <f t="shared" si="41"/>
        <v/>
      </c>
      <c r="I341" s="90" t="str">
        <f t="shared" si="42"/>
        <v/>
      </c>
      <c r="J341" s="90" t="str">
        <f t="shared" si="43"/>
        <v/>
      </c>
    </row>
    <row r="342" spans="2:10" x14ac:dyDescent="0.25">
      <c r="B342" s="78" t="str">
        <f t="shared" si="37"/>
        <v/>
      </c>
      <c r="C342" s="383" t="str">
        <f t="shared" si="44"/>
        <v/>
      </c>
      <c r="D342" s="90" t="str">
        <f t="shared" si="45"/>
        <v/>
      </c>
      <c r="E342" s="90" t="str">
        <f t="shared" si="38"/>
        <v/>
      </c>
      <c r="F342" s="90" t="str">
        <f t="shared" si="39"/>
        <v/>
      </c>
      <c r="G342" s="90" t="str">
        <f t="shared" si="40"/>
        <v/>
      </c>
      <c r="H342" s="90" t="str">
        <f t="shared" si="41"/>
        <v/>
      </c>
      <c r="I342" s="90" t="str">
        <f t="shared" si="42"/>
        <v/>
      </c>
      <c r="J342" s="90" t="str">
        <f t="shared" si="43"/>
        <v/>
      </c>
    </row>
    <row r="343" spans="2:10" x14ac:dyDescent="0.25">
      <c r="B343" s="78" t="str">
        <f t="shared" ref="B343:B380" si="46">IF(OR(ISERROR(IF(B342+1&lt;=$E$13,B342+1,"")),J342&lt;=0),"",IF(B342+1&lt;=$E$13,B342+1,""))</f>
        <v/>
      </c>
      <c r="C343" s="383" t="str">
        <f t="shared" si="44"/>
        <v/>
      </c>
      <c r="D343" s="90" t="str">
        <f t="shared" si="45"/>
        <v/>
      </c>
      <c r="E343" s="90" t="str">
        <f t="shared" ref="E343:E380" si="47">IF(B343&lt;&gt;"",$E$12,"")</f>
        <v/>
      </c>
      <c r="F343" s="90" t="str">
        <f t="shared" ref="F343:F380" si="48">IF(B343&lt;&gt;"",$E$9,"")</f>
        <v/>
      </c>
      <c r="G343" s="90" t="str">
        <f t="shared" ref="G343:G380" si="49">IF(B343&lt;&gt;"",E343+F343,"")</f>
        <v/>
      </c>
      <c r="H343" s="90" t="str">
        <f t="shared" ref="H343:H380" si="50">IF(B343&lt;&gt;"",E343+F343-I343,"")</f>
        <v/>
      </c>
      <c r="I343" s="90" t="str">
        <f t="shared" ref="I343:I380" si="51">IF(B343&lt;&gt;"",D343*$E$6/12,"")</f>
        <v/>
      </c>
      <c r="J343" s="90" t="str">
        <f t="shared" ref="J343:J381" si="52">IF(B343&lt;&gt;"",D343-H343,"")</f>
        <v/>
      </c>
    </row>
    <row r="344" spans="2:10" x14ac:dyDescent="0.25">
      <c r="B344" s="78" t="str">
        <f t="shared" si="46"/>
        <v/>
      </c>
      <c r="C344" s="383" t="str">
        <f t="shared" ref="C344:C380" si="53">IF(B344&lt;&gt;"",DATE(YEAR(C343),MONTH(C343)+1,DAY(C343)),"")</f>
        <v/>
      </c>
      <c r="D344" s="90" t="str">
        <f t="shared" ref="D344:D380" si="54">IF(B344&lt;&gt;"",J343,"")</f>
        <v/>
      </c>
      <c r="E344" s="90" t="str">
        <f t="shared" si="47"/>
        <v/>
      </c>
      <c r="F344" s="90" t="str">
        <f t="shared" si="48"/>
        <v/>
      </c>
      <c r="G344" s="90" t="str">
        <f t="shared" si="49"/>
        <v/>
      </c>
      <c r="H344" s="90" t="str">
        <f t="shared" si="50"/>
        <v/>
      </c>
      <c r="I344" s="90" t="str">
        <f t="shared" si="51"/>
        <v/>
      </c>
      <c r="J344" s="90" t="str">
        <f t="shared" si="52"/>
        <v/>
      </c>
    </row>
    <row r="345" spans="2:10" x14ac:dyDescent="0.25">
      <c r="B345" s="78" t="str">
        <f t="shared" si="46"/>
        <v/>
      </c>
      <c r="C345" s="383" t="str">
        <f t="shared" si="53"/>
        <v/>
      </c>
      <c r="D345" s="90" t="str">
        <f t="shared" si="54"/>
        <v/>
      </c>
      <c r="E345" s="90" t="str">
        <f t="shared" si="47"/>
        <v/>
      </c>
      <c r="F345" s="90" t="str">
        <f t="shared" si="48"/>
        <v/>
      </c>
      <c r="G345" s="90" t="str">
        <f t="shared" si="49"/>
        <v/>
      </c>
      <c r="H345" s="90" t="str">
        <f t="shared" si="50"/>
        <v/>
      </c>
      <c r="I345" s="90" t="str">
        <f t="shared" si="51"/>
        <v/>
      </c>
      <c r="J345" s="90" t="str">
        <f t="shared" si="52"/>
        <v/>
      </c>
    </row>
    <row r="346" spans="2:10" x14ac:dyDescent="0.25">
      <c r="B346" s="78" t="str">
        <f t="shared" si="46"/>
        <v/>
      </c>
      <c r="C346" s="383" t="str">
        <f t="shared" si="53"/>
        <v/>
      </c>
      <c r="D346" s="90" t="str">
        <f t="shared" si="54"/>
        <v/>
      </c>
      <c r="E346" s="90" t="str">
        <f t="shared" si="47"/>
        <v/>
      </c>
      <c r="F346" s="90" t="str">
        <f t="shared" si="48"/>
        <v/>
      </c>
      <c r="G346" s="90" t="str">
        <f t="shared" si="49"/>
        <v/>
      </c>
      <c r="H346" s="90" t="str">
        <f t="shared" si="50"/>
        <v/>
      </c>
      <c r="I346" s="90" t="str">
        <f t="shared" si="51"/>
        <v/>
      </c>
      <c r="J346" s="90" t="str">
        <f t="shared" si="52"/>
        <v/>
      </c>
    </row>
    <row r="347" spans="2:10" x14ac:dyDescent="0.25">
      <c r="B347" s="78" t="str">
        <f t="shared" si="46"/>
        <v/>
      </c>
      <c r="C347" s="383" t="str">
        <f t="shared" si="53"/>
        <v/>
      </c>
      <c r="D347" s="90" t="str">
        <f t="shared" si="54"/>
        <v/>
      </c>
      <c r="E347" s="90" t="str">
        <f t="shared" si="47"/>
        <v/>
      </c>
      <c r="F347" s="90" t="str">
        <f t="shared" si="48"/>
        <v/>
      </c>
      <c r="G347" s="90" t="str">
        <f t="shared" si="49"/>
        <v/>
      </c>
      <c r="H347" s="90" t="str">
        <f t="shared" si="50"/>
        <v/>
      </c>
      <c r="I347" s="90" t="str">
        <f t="shared" si="51"/>
        <v/>
      </c>
      <c r="J347" s="90" t="str">
        <f t="shared" si="52"/>
        <v/>
      </c>
    </row>
    <row r="348" spans="2:10" x14ac:dyDescent="0.25">
      <c r="B348" s="78" t="str">
        <f t="shared" si="46"/>
        <v/>
      </c>
      <c r="C348" s="383" t="str">
        <f t="shared" si="53"/>
        <v/>
      </c>
      <c r="D348" s="90" t="str">
        <f t="shared" si="54"/>
        <v/>
      </c>
      <c r="E348" s="90" t="str">
        <f t="shared" si="47"/>
        <v/>
      </c>
      <c r="F348" s="90" t="str">
        <f t="shared" si="48"/>
        <v/>
      </c>
      <c r="G348" s="90" t="str">
        <f t="shared" si="49"/>
        <v/>
      </c>
      <c r="H348" s="90" t="str">
        <f t="shared" si="50"/>
        <v/>
      </c>
      <c r="I348" s="90" t="str">
        <f t="shared" si="51"/>
        <v/>
      </c>
      <c r="J348" s="90" t="str">
        <f t="shared" si="52"/>
        <v/>
      </c>
    </row>
    <row r="349" spans="2:10" x14ac:dyDescent="0.25">
      <c r="B349" s="78" t="str">
        <f t="shared" si="46"/>
        <v/>
      </c>
      <c r="C349" s="383" t="str">
        <f t="shared" si="53"/>
        <v/>
      </c>
      <c r="D349" s="90" t="str">
        <f t="shared" si="54"/>
        <v/>
      </c>
      <c r="E349" s="90" t="str">
        <f t="shared" si="47"/>
        <v/>
      </c>
      <c r="F349" s="90" t="str">
        <f t="shared" si="48"/>
        <v/>
      </c>
      <c r="G349" s="90" t="str">
        <f t="shared" si="49"/>
        <v/>
      </c>
      <c r="H349" s="90" t="str">
        <f t="shared" si="50"/>
        <v/>
      </c>
      <c r="I349" s="90" t="str">
        <f t="shared" si="51"/>
        <v/>
      </c>
      <c r="J349" s="90" t="str">
        <f t="shared" si="52"/>
        <v/>
      </c>
    </row>
    <row r="350" spans="2:10" x14ac:dyDescent="0.25">
      <c r="B350" s="78" t="str">
        <f t="shared" si="46"/>
        <v/>
      </c>
      <c r="C350" s="383" t="str">
        <f t="shared" si="53"/>
        <v/>
      </c>
      <c r="D350" s="90" t="str">
        <f t="shared" si="54"/>
        <v/>
      </c>
      <c r="E350" s="90" t="str">
        <f t="shared" si="47"/>
        <v/>
      </c>
      <c r="F350" s="90" t="str">
        <f t="shared" si="48"/>
        <v/>
      </c>
      <c r="G350" s="90" t="str">
        <f t="shared" si="49"/>
        <v/>
      </c>
      <c r="H350" s="90" t="str">
        <f t="shared" si="50"/>
        <v/>
      </c>
      <c r="I350" s="90" t="str">
        <f t="shared" si="51"/>
        <v/>
      </c>
      <c r="J350" s="90" t="str">
        <f t="shared" si="52"/>
        <v/>
      </c>
    </row>
    <row r="351" spans="2:10" x14ac:dyDescent="0.25">
      <c r="B351" s="78" t="str">
        <f t="shared" si="46"/>
        <v/>
      </c>
      <c r="C351" s="383" t="str">
        <f t="shared" si="53"/>
        <v/>
      </c>
      <c r="D351" s="90" t="str">
        <f t="shared" si="54"/>
        <v/>
      </c>
      <c r="E351" s="90" t="str">
        <f t="shared" si="47"/>
        <v/>
      </c>
      <c r="F351" s="90" t="str">
        <f t="shared" si="48"/>
        <v/>
      </c>
      <c r="G351" s="90" t="str">
        <f t="shared" si="49"/>
        <v/>
      </c>
      <c r="H351" s="90" t="str">
        <f t="shared" si="50"/>
        <v/>
      </c>
      <c r="I351" s="90" t="str">
        <f t="shared" si="51"/>
        <v/>
      </c>
      <c r="J351" s="90" t="str">
        <f t="shared" si="52"/>
        <v/>
      </c>
    </row>
    <row r="352" spans="2:10" x14ac:dyDescent="0.25">
      <c r="B352" s="78" t="str">
        <f t="shared" si="46"/>
        <v/>
      </c>
      <c r="C352" s="383" t="str">
        <f t="shared" si="53"/>
        <v/>
      </c>
      <c r="D352" s="90" t="str">
        <f t="shared" si="54"/>
        <v/>
      </c>
      <c r="E352" s="90" t="str">
        <f t="shared" si="47"/>
        <v/>
      </c>
      <c r="F352" s="90" t="str">
        <f t="shared" si="48"/>
        <v/>
      </c>
      <c r="G352" s="90" t="str">
        <f t="shared" si="49"/>
        <v/>
      </c>
      <c r="H352" s="90" t="str">
        <f t="shared" si="50"/>
        <v/>
      </c>
      <c r="I352" s="90" t="str">
        <f t="shared" si="51"/>
        <v/>
      </c>
      <c r="J352" s="90" t="str">
        <f t="shared" si="52"/>
        <v/>
      </c>
    </row>
    <row r="353" spans="2:10" x14ac:dyDescent="0.25">
      <c r="B353" s="78" t="str">
        <f t="shared" si="46"/>
        <v/>
      </c>
      <c r="C353" s="383" t="str">
        <f t="shared" si="53"/>
        <v/>
      </c>
      <c r="D353" s="90" t="str">
        <f t="shared" si="54"/>
        <v/>
      </c>
      <c r="E353" s="90" t="str">
        <f t="shared" si="47"/>
        <v/>
      </c>
      <c r="F353" s="90" t="str">
        <f t="shared" si="48"/>
        <v/>
      </c>
      <c r="G353" s="90" t="str">
        <f t="shared" si="49"/>
        <v/>
      </c>
      <c r="H353" s="90" t="str">
        <f t="shared" si="50"/>
        <v/>
      </c>
      <c r="I353" s="90" t="str">
        <f t="shared" si="51"/>
        <v/>
      </c>
      <c r="J353" s="90" t="str">
        <f t="shared" si="52"/>
        <v/>
      </c>
    </row>
    <row r="354" spans="2:10" x14ac:dyDescent="0.25">
      <c r="B354" s="78" t="str">
        <f t="shared" si="46"/>
        <v/>
      </c>
      <c r="C354" s="383" t="str">
        <f t="shared" si="53"/>
        <v/>
      </c>
      <c r="D354" s="90" t="str">
        <f t="shared" si="54"/>
        <v/>
      </c>
      <c r="E354" s="90" t="str">
        <f t="shared" si="47"/>
        <v/>
      </c>
      <c r="F354" s="90" t="str">
        <f t="shared" si="48"/>
        <v/>
      </c>
      <c r="G354" s="90" t="str">
        <f t="shared" si="49"/>
        <v/>
      </c>
      <c r="H354" s="90" t="str">
        <f t="shared" si="50"/>
        <v/>
      </c>
      <c r="I354" s="90" t="str">
        <f t="shared" si="51"/>
        <v/>
      </c>
      <c r="J354" s="90" t="str">
        <f t="shared" si="52"/>
        <v/>
      </c>
    </row>
    <row r="355" spans="2:10" x14ac:dyDescent="0.25">
      <c r="B355" s="78" t="str">
        <f t="shared" si="46"/>
        <v/>
      </c>
      <c r="C355" s="383" t="str">
        <f t="shared" si="53"/>
        <v/>
      </c>
      <c r="D355" s="90" t="str">
        <f t="shared" si="54"/>
        <v/>
      </c>
      <c r="E355" s="90" t="str">
        <f t="shared" si="47"/>
        <v/>
      </c>
      <c r="F355" s="90" t="str">
        <f t="shared" si="48"/>
        <v/>
      </c>
      <c r="G355" s="90" t="str">
        <f t="shared" si="49"/>
        <v/>
      </c>
      <c r="H355" s="90" t="str">
        <f t="shared" si="50"/>
        <v/>
      </c>
      <c r="I355" s="90" t="str">
        <f t="shared" si="51"/>
        <v/>
      </c>
      <c r="J355" s="90" t="str">
        <f t="shared" si="52"/>
        <v/>
      </c>
    </row>
    <row r="356" spans="2:10" x14ac:dyDescent="0.25">
      <c r="B356" s="78" t="str">
        <f t="shared" si="46"/>
        <v/>
      </c>
      <c r="C356" s="383" t="str">
        <f t="shared" si="53"/>
        <v/>
      </c>
      <c r="D356" s="90" t="str">
        <f t="shared" si="54"/>
        <v/>
      </c>
      <c r="E356" s="90" t="str">
        <f t="shared" si="47"/>
        <v/>
      </c>
      <c r="F356" s="90" t="str">
        <f t="shared" si="48"/>
        <v/>
      </c>
      <c r="G356" s="90" t="str">
        <f t="shared" si="49"/>
        <v/>
      </c>
      <c r="H356" s="90" t="str">
        <f t="shared" si="50"/>
        <v/>
      </c>
      <c r="I356" s="90" t="str">
        <f t="shared" si="51"/>
        <v/>
      </c>
      <c r="J356" s="90" t="str">
        <f t="shared" si="52"/>
        <v/>
      </c>
    </row>
    <row r="357" spans="2:10" x14ac:dyDescent="0.25">
      <c r="B357" s="78" t="str">
        <f t="shared" si="46"/>
        <v/>
      </c>
      <c r="C357" s="383" t="str">
        <f t="shared" si="53"/>
        <v/>
      </c>
      <c r="D357" s="90" t="str">
        <f t="shared" si="54"/>
        <v/>
      </c>
      <c r="E357" s="90" t="str">
        <f t="shared" si="47"/>
        <v/>
      </c>
      <c r="F357" s="90" t="str">
        <f t="shared" si="48"/>
        <v/>
      </c>
      <c r="G357" s="90" t="str">
        <f t="shared" si="49"/>
        <v/>
      </c>
      <c r="H357" s="90" t="str">
        <f t="shared" si="50"/>
        <v/>
      </c>
      <c r="I357" s="90" t="str">
        <f t="shared" si="51"/>
        <v/>
      </c>
      <c r="J357" s="90" t="str">
        <f t="shared" si="52"/>
        <v/>
      </c>
    </row>
    <row r="358" spans="2:10" x14ac:dyDescent="0.25">
      <c r="B358" s="78" t="str">
        <f t="shared" si="46"/>
        <v/>
      </c>
      <c r="C358" s="383" t="str">
        <f t="shared" si="53"/>
        <v/>
      </c>
      <c r="D358" s="90" t="str">
        <f t="shared" si="54"/>
        <v/>
      </c>
      <c r="E358" s="90" t="str">
        <f t="shared" si="47"/>
        <v/>
      </c>
      <c r="F358" s="90" t="str">
        <f t="shared" si="48"/>
        <v/>
      </c>
      <c r="G358" s="90" t="str">
        <f t="shared" si="49"/>
        <v/>
      </c>
      <c r="H358" s="90" t="str">
        <f t="shared" si="50"/>
        <v/>
      </c>
      <c r="I358" s="90" t="str">
        <f t="shared" si="51"/>
        <v/>
      </c>
      <c r="J358" s="90" t="str">
        <f t="shared" si="52"/>
        <v/>
      </c>
    </row>
    <row r="359" spans="2:10" x14ac:dyDescent="0.25">
      <c r="B359" s="78" t="str">
        <f t="shared" si="46"/>
        <v/>
      </c>
      <c r="C359" s="383" t="str">
        <f t="shared" si="53"/>
        <v/>
      </c>
      <c r="D359" s="90" t="str">
        <f t="shared" si="54"/>
        <v/>
      </c>
      <c r="E359" s="90" t="str">
        <f t="shared" si="47"/>
        <v/>
      </c>
      <c r="F359" s="90" t="str">
        <f t="shared" si="48"/>
        <v/>
      </c>
      <c r="G359" s="90" t="str">
        <f t="shared" si="49"/>
        <v/>
      </c>
      <c r="H359" s="90" t="str">
        <f t="shared" si="50"/>
        <v/>
      </c>
      <c r="I359" s="90" t="str">
        <f t="shared" si="51"/>
        <v/>
      </c>
      <c r="J359" s="90" t="str">
        <f t="shared" si="52"/>
        <v/>
      </c>
    </row>
    <row r="360" spans="2:10" x14ac:dyDescent="0.25">
      <c r="B360" s="78" t="str">
        <f t="shared" si="46"/>
        <v/>
      </c>
      <c r="C360" s="383" t="str">
        <f t="shared" si="53"/>
        <v/>
      </c>
      <c r="D360" s="90" t="str">
        <f t="shared" si="54"/>
        <v/>
      </c>
      <c r="E360" s="90" t="str">
        <f t="shared" si="47"/>
        <v/>
      </c>
      <c r="F360" s="90" t="str">
        <f t="shared" si="48"/>
        <v/>
      </c>
      <c r="G360" s="90" t="str">
        <f t="shared" si="49"/>
        <v/>
      </c>
      <c r="H360" s="90" t="str">
        <f t="shared" si="50"/>
        <v/>
      </c>
      <c r="I360" s="90" t="str">
        <f t="shared" si="51"/>
        <v/>
      </c>
      <c r="J360" s="90" t="str">
        <f t="shared" si="52"/>
        <v/>
      </c>
    </row>
    <row r="361" spans="2:10" x14ac:dyDescent="0.25">
      <c r="B361" s="78" t="str">
        <f t="shared" si="46"/>
        <v/>
      </c>
      <c r="C361" s="383" t="str">
        <f t="shared" si="53"/>
        <v/>
      </c>
      <c r="D361" s="90" t="str">
        <f t="shared" si="54"/>
        <v/>
      </c>
      <c r="E361" s="90" t="str">
        <f t="shared" si="47"/>
        <v/>
      </c>
      <c r="F361" s="90" t="str">
        <f t="shared" si="48"/>
        <v/>
      </c>
      <c r="G361" s="90" t="str">
        <f t="shared" si="49"/>
        <v/>
      </c>
      <c r="H361" s="90" t="str">
        <f t="shared" si="50"/>
        <v/>
      </c>
      <c r="I361" s="90" t="str">
        <f t="shared" si="51"/>
        <v/>
      </c>
      <c r="J361" s="90" t="str">
        <f t="shared" si="52"/>
        <v/>
      </c>
    </row>
    <row r="362" spans="2:10" x14ac:dyDescent="0.25">
      <c r="B362" s="78" t="str">
        <f t="shared" si="46"/>
        <v/>
      </c>
      <c r="C362" s="383" t="str">
        <f t="shared" si="53"/>
        <v/>
      </c>
      <c r="D362" s="90" t="str">
        <f t="shared" si="54"/>
        <v/>
      </c>
      <c r="E362" s="90" t="str">
        <f t="shared" si="47"/>
        <v/>
      </c>
      <c r="F362" s="90" t="str">
        <f t="shared" si="48"/>
        <v/>
      </c>
      <c r="G362" s="90" t="str">
        <f t="shared" si="49"/>
        <v/>
      </c>
      <c r="H362" s="90" t="str">
        <f t="shared" si="50"/>
        <v/>
      </c>
      <c r="I362" s="90" t="str">
        <f t="shared" si="51"/>
        <v/>
      </c>
      <c r="J362" s="90" t="str">
        <f t="shared" si="52"/>
        <v/>
      </c>
    </row>
    <row r="363" spans="2:10" x14ac:dyDescent="0.25">
      <c r="B363" s="78" t="str">
        <f t="shared" si="46"/>
        <v/>
      </c>
      <c r="C363" s="383" t="str">
        <f t="shared" si="53"/>
        <v/>
      </c>
      <c r="D363" s="90" t="str">
        <f t="shared" si="54"/>
        <v/>
      </c>
      <c r="E363" s="90" t="str">
        <f t="shared" si="47"/>
        <v/>
      </c>
      <c r="F363" s="90" t="str">
        <f t="shared" si="48"/>
        <v/>
      </c>
      <c r="G363" s="90" t="str">
        <f t="shared" si="49"/>
        <v/>
      </c>
      <c r="H363" s="90" t="str">
        <f t="shared" si="50"/>
        <v/>
      </c>
      <c r="I363" s="90" t="str">
        <f t="shared" si="51"/>
        <v/>
      </c>
      <c r="J363" s="90" t="str">
        <f t="shared" si="52"/>
        <v/>
      </c>
    </row>
    <row r="364" spans="2:10" x14ac:dyDescent="0.25">
      <c r="B364" s="78" t="str">
        <f t="shared" si="46"/>
        <v/>
      </c>
      <c r="C364" s="383" t="str">
        <f t="shared" si="53"/>
        <v/>
      </c>
      <c r="D364" s="90" t="str">
        <f t="shared" si="54"/>
        <v/>
      </c>
      <c r="E364" s="90" t="str">
        <f t="shared" si="47"/>
        <v/>
      </c>
      <c r="F364" s="90" t="str">
        <f t="shared" si="48"/>
        <v/>
      </c>
      <c r="G364" s="90" t="str">
        <f t="shared" si="49"/>
        <v/>
      </c>
      <c r="H364" s="90" t="str">
        <f t="shared" si="50"/>
        <v/>
      </c>
      <c r="I364" s="90" t="str">
        <f t="shared" si="51"/>
        <v/>
      </c>
      <c r="J364" s="90" t="str">
        <f t="shared" si="52"/>
        <v/>
      </c>
    </row>
    <row r="365" spans="2:10" x14ac:dyDescent="0.25">
      <c r="B365" s="78" t="str">
        <f t="shared" si="46"/>
        <v/>
      </c>
      <c r="C365" s="383" t="str">
        <f t="shared" si="53"/>
        <v/>
      </c>
      <c r="D365" s="90" t="str">
        <f t="shared" si="54"/>
        <v/>
      </c>
      <c r="E365" s="90" t="str">
        <f t="shared" si="47"/>
        <v/>
      </c>
      <c r="F365" s="90" t="str">
        <f t="shared" si="48"/>
        <v/>
      </c>
      <c r="G365" s="90" t="str">
        <f t="shared" si="49"/>
        <v/>
      </c>
      <c r="H365" s="90" t="str">
        <f t="shared" si="50"/>
        <v/>
      </c>
      <c r="I365" s="90" t="str">
        <f t="shared" si="51"/>
        <v/>
      </c>
      <c r="J365" s="90" t="str">
        <f t="shared" si="52"/>
        <v/>
      </c>
    </row>
    <row r="366" spans="2:10" x14ac:dyDescent="0.25">
      <c r="B366" s="78" t="str">
        <f t="shared" si="46"/>
        <v/>
      </c>
      <c r="C366" s="383" t="str">
        <f t="shared" si="53"/>
        <v/>
      </c>
      <c r="D366" s="90" t="str">
        <f t="shared" si="54"/>
        <v/>
      </c>
      <c r="E366" s="90" t="str">
        <f t="shared" si="47"/>
        <v/>
      </c>
      <c r="F366" s="90" t="str">
        <f t="shared" si="48"/>
        <v/>
      </c>
      <c r="G366" s="90" t="str">
        <f t="shared" si="49"/>
        <v/>
      </c>
      <c r="H366" s="90" t="str">
        <f t="shared" si="50"/>
        <v/>
      </c>
      <c r="I366" s="90" t="str">
        <f t="shared" si="51"/>
        <v/>
      </c>
      <c r="J366" s="90" t="str">
        <f t="shared" si="52"/>
        <v/>
      </c>
    </row>
    <row r="367" spans="2:10" x14ac:dyDescent="0.25">
      <c r="B367" s="78" t="str">
        <f t="shared" si="46"/>
        <v/>
      </c>
      <c r="C367" s="383" t="str">
        <f t="shared" si="53"/>
        <v/>
      </c>
      <c r="D367" s="90" t="str">
        <f t="shared" si="54"/>
        <v/>
      </c>
      <c r="E367" s="90" t="str">
        <f t="shared" si="47"/>
        <v/>
      </c>
      <c r="F367" s="90" t="str">
        <f t="shared" si="48"/>
        <v/>
      </c>
      <c r="G367" s="90" t="str">
        <f t="shared" si="49"/>
        <v/>
      </c>
      <c r="H367" s="90" t="str">
        <f t="shared" si="50"/>
        <v/>
      </c>
      <c r="I367" s="90" t="str">
        <f t="shared" si="51"/>
        <v/>
      </c>
      <c r="J367" s="90" t="str">
        <f t="shared" si="52"/>
        <v/>
      </c>
    </row>
    <row r="368" spans="2:10" x14ac:dyDescent="0.25">
      <c r="B368" s="78" t="str">
        <f t="shared" si="46"/>
        <v/>
      </c>
      <c r="C368" s="383" t="str">
        <f t="shared" si="53"/>
        <v/>
      </c>
      <c r="D368" s="90" t="str">
        <f t="shared" si="54"/>
        <v/>
      </c>
      <c r="E368" s="90" t="str">
        <f t="shared" si="47"/>
        <v/>
      </c>
      <c r="F368" s="90" t="str">
        <f t="shared" si="48"/>
        <v/>
      </c>
      <c r="G368" s="90" t="str">
        <f t="shared" si="49"/>
        <v/>
      </c>
      <c r="H368" s="90" t="str">
        <f t="shared" si="50"/>
        <v/>
      </c>
      <c r="I368" s="90" t="str">
        <f t="shared" si="51"/>
        <v/>
      </c>
      <c r="J368" s="90" t="str">
        <f t="shared" si="52"/>
        <v/>
      </c>
    </row>
    <row r="369" spans="2:10" x14ac:dyDescent="0.25">
      <c r="B369" s="78" t="str">
        <f t="shared" si="46"/>
        <v/>
      </c>
      <c r="C369" s="383" t="str">
        <f t="shared" si="53"/>
        <v/>
      </c>
      <c r="D369" s="90" t="str">
        <f t="shared" si="54"/>
        <v/>
      </c>
      <c r="E369" s="90" t="str">
        <f t="shared" si="47"/>
        <v/>
      </c>
      <c r="F369" s="90" t="str">
        <f t="shared" si="48"/>
        <v/>
      </c>
      <c r="G369" s="90" t="str">
        <f t="shared" si="49"/>
        <v/>
      </c>
      <c r="H369" s="90" t="str">
        <f t="shared" si="50"/>
        <v/>
      </c>
      <c r="I369" s="90" t="str">
        <f t="shared" si="51"/>
        <v/>
      </c>
      <c r="J369" s="90" t="str">
        <f t="shared" si="52"/>
        <v/>
      </c>
    </row>
    <row r="370" spans="2:10" x14ac:dyDescent="0.25">
      <c r="B370" s="78" t="str">
        <f t="shared" si="46"/>
        <v/>
      </c>
      <c r="C370" s="383" t="str">
        <f t="shared" si="53"/>
        <v/>
      </c>
      <c r="D370" s="90" t="str">
        <f t="shared" si="54"/>
        <v/>
      </c>
      <c r="E370" s="90" t="str">
        <f t="shared" si="47"/>
        <v/>
      </c>
      <c r="F370" s="90" t="str">
        <f t="shared" si="48"/>
        <v/>
      </c>
      <c r="G370" s="90" t="str">
        <f t="shared" si="49"/>
        <v/>
      </c>
      <c r="H370" s="90" t="str">
        <f t="shared" si="50"/>
        <v/>
      </c>
      <c r="I370" s="90" t="str">
        <f t="shared" si="51"/>
        <v/>
      </c>
      <c r="J370" s="90" t="str">
        <f t="shared" si="52"/>
        <v/>
      </c>
    </row>
    <row r="371" spans="2:10" x14ac:dyDescent="0.25">
      <c r="B371" s="78" t="str">
        <f t="shared" si="46"/>
        <v/>
      </c>
      <c r="C371" s="383" t="str">
        <f t="shared" si="53"/>
        <v/>
      </c>
      <c r="D371" s="90" t="str">
        <f t="shared" si="54"/>
        <v/>
      </c>
      <c r="E371" s="90" t="str">
        <f t="shared" si="47"/>
        <v/>
      </c>
      <c r="F371" s="90" t="str">
        <f t="shared" si="48"/>
        <v/>
      </c>
      <c r="G371" s="90" t="str">
        <f t="shared" si="49"/>
        <v/>
      </c>
      <c r="H371" s="90" t="str">
        <f t="shared" si="50"/>
        <v/>
      </c>
      <c r="I371" s="90" t="str">
        <f t="shared" si="51"/>
        <v/>
      </c>
      <c r="J371" s="90" t="str">
        <f t="shared" si="52"/>
        <v/>
      </c>
    </row>
    <row r="372" spans="2:10" x14ac:dyDescent="0.25">
      <c r="B372" s="78" t="str">
        <f t="shared" si="46"/>
        <v/>
      </c>
      <c r="C372" s="383" t="str">
        <f t="shared" si="53"/>
        <v/>
      </c>
      <c r="D372" s="90" t="str">
        <f t="shared" si="54"/>
        <v/>
      </c>
      <c r="E372" s="90" t="str">
        <f t="shared" si="47"/>
        <v/>
      </c>
      <c r="F372" s="90" t="str">
        <f t="shared" si="48"/>
        <v/>
      </c>
      <c r="G372" s="90" t="str">
        <f t="shared" si="49"/>
        <v/>
      </c>
      <c r="H372" s="90" t="str">
        <f t="shared" si="50"/>
        <v/>
      </c>
      <c r="I372" s="90" t="str">
        <f t="shared" si="51"/>
        <v/>
      </c>
      <c r="J372" s="90" t="str">
        <f t="shared" si="52"/>
        <v/>
      </c>
    </row>
    <row r="373" spans="2:10" x14ac:dyDescent="0.25">
      <c r="B373" s="78" t="str">
        <f t="shared" si="46"/>
        <v/>
      </c>
      <c r="C373" s="383" t="str">
        <f t="shared" si="53"/>
        <v/>
      </c>
      <c r="D373" s="90" t="str">
        <f t="shared" si="54"/>
        <v/>
      </c>
      <c r="E373" s="90" t="str">
        <f t="shared" si="47"/>
        <v/>
      </c>
      <c r="F373" s="90" t="str">
        <f t="shared" si="48"/>
        <v/>
      </c>
      <c r="G373" s="90" t="str">
        <f t="shared" si="49"/>
        <v/>
      </c>
      <c r="H373" s="90" t="str">
        <f t="shared" si="50"/>
        <v/>
      </c>
      <c r="I373" s="90" t="str">
        <f t="shared" si="51"/>
        <v/>
      </c>
      <c r="J373" s="90" t="str">
        <f t="shared" si="52"/>
        <v/>
      </c>
    </row>
    <row r="374" spans="2:10" x14ac:dyDescent="0.25">
      <c r="B374" s="78" t="str">
        <f t="shared" si="46"/>
        <v/>
      </c>
      <c r="C374" s="383" t="str">
        <f t="shared" si="53"/>
        <v/>
      </c>
      <c r="D374" s="90" t="str">
        <f t="shared" si="54"/>
        <v/>
      </c>
      <c r="E374" s="90" t="str">
        <f t="shared" si="47"/>
        <v/>
      </c>
      <c r="F374" s="90" t="str">
        <f t="shared" si="48"/>
        <v/>
      </c>
      <c r="G374" s="90" t="str">
        <f t="shared" si="49"/>
        <v/>
      </c>
      <c r="H374" s="90" t="str">
        <f t="shared" si="50"/>
        <v/>
      </c>
      <c r="I374" s="90" t="str">
        <f t="shared" si="51"/>
        <v/>
      </c>
      <c r="J374" s="90" t="str">
        <f t="shared" si="52"/>
        <v/>
      </c>
    </row>
    <row r="375" spans="2:10" x14ac:dyDescent="0.25">
      <c r="B375" s="78" t="str">
        <f t="shared" si="46"/>
        <v/>
      </c>
      <c r="C375" s="383" t="str">
        <f t="shared" si="53"/>
        <v/>
      </c>
      <c r="D375" s="90" t="str">
        <f t="shared" si="54"/>
        <v/>
      </c>
      <c r="E375" s="90" t="str">
        <f t="shared" si="47"/>
        <v/>
      </c>
      <c r="F375" s="90" t="str">
        <f t="shared" si="48"/>
        <v/>
      </c>
      <c r="G375" s="90" t="str">
        <f t="shared" si="49"/>
        <v/>
      </c>
      <c r="H375" s="90" t="str">
        <f t="shared" si="50"/>
        <v/>
      </c>
      <c r="I375" s="90" t="str">
        <f t="shared" si="51"/>
        <v/>
      </c>
      <c r="J375" s="90" t="str">
        <f t="shared" si="52"/>
        <v/>
      </c>
    </row>
    <row r="376" spans="2:10" x14ac:dyDescent="0.25">
      <c r="B376" s="78" t="str">
        <f t="shared" si="46"/>
        <v/>
      </c>
      <c r="C376" s="383" t="str">
        <f t="shared" si="53"/>
        <v/>
      </c>
      <c r="D376" s="90" t="str">
        <f t="shared" si="54"/>
        <v/>
      </c>
      <c r="E376" s="90" t="str">
        <f t="shared" si="47"/>
        <v/>
      </c>
      <c r="F376" s="90" t="str">
        <f t="shared" si="48"/>
        <v/>
      </c>
      <c r="G376" s="90" t="str">
        <f t="shared" si="49"/>
        <v/>
      </c>
      <c r="H376" s="90" t="str">
        <f t="shared" si="50"/>
        <v/>
      </c>
      <c r="I376" s="90" t="str">
        <f t="shared" si="51"/>
        <v/>
      </c>
      <c r="J376" s="90" t="str">
        <f t="shared" si="52"/>
        <v/>
      </c>
    </row>
    <row r="377" spans="2:10" x14ac:dyDescent="0.25">
      <c r="B377" s="78" t="str">
        <f t="shared" si="46"/>
        <v/>
      </c>
      <c r="C377" s="383" t="str">
        <f t="shared" si="53"/>
        <v/>
      </c>
      <c r="D377" s="90" t="str">
        <f t="shared" si="54"/>
        <v/>
      </c>
      <c r="E377" s="90" t="str">
        <f t="shared" si="47"/>
        <v/>
      </c>
      <c r="F377" s="90" t="str">
        <f t="shared" si="48"/>
        <v/>
      </c>
      <c r="G377" s="90" t="str">
        <f t="shared" si="49"/>
        <v/>
      </c>
      <c r="H377" s="90" t="str">
        <f t="shared" si="50"/>
        <v/>
      </c>
      <c r="I377" s="90" t="str">
        <f t="shared" si="51"/>
        <v/>
      </c>
      <c r="J377" s="90" t="str">
        <f t="shared" si="52"/>
        <v/>
      </c>
    </row>
    <row r="378" spans="2:10" x14ac:dyDescent="0.25">
      <c r="B378" s="78" t="str">
        <f t="shared" si="46"/>
        <v/>
      </c>
      <c r="C378" s="383" t="str">
        <f t="shared" si="53"/>
        <v/>
      </c>
      <c r="D378" s="90" t="str">
        <f t="shared" si="54"/>
        <v/>
      </c>
      <c r="E378" s="90" t="str">
        <f t="shared" si="47"/>
        <v/>
      </c>
      <c r="F378" s="90" t="str">
        <f t="shared" si="48"/>
        <v/>
      </c>
      <c r="G378" s="90" t="str">
        <f t="shared" si="49"/>
        <v/>
      </c>
      <c r="H378" s="90" t="str">
        <f t="shared" si="50"/>
        <v/>
      </c>
      <c r="I378" s="90" t="str">
        <f t="shared" si="51"/>
        <v/>
      </c>
      <c r="J378" s="90" t="str">
        <f t="shared" si="52"/>
        <v/>
      </c>
    </row>
    <row r="379" spans="2:10" x14ac:dyDescent="0.25">
      <c r="B379" s="78" t="str">
        <f t="shared" si="46"/>
        <v/>
      </c>
      <c r="C379" s="383" t="str">
        <f t="shared" si="53"/>
        <v/>
      </c>
      <c r="D379" s="90" t="str">
        <f t="shared" si="54"/>
        <v/>
      </c>
      <c r="E379" s="90" t="str">
        <f t="shared" si="47"/>
        <v/>
      </c>
      <c r="F379" s="90" t="str">
        <f t="shared" si="48"/>
        <v/>
      </c>
      <c r="G379" s="90" t="str">
        <f t="shared" si="49"/>
        <v/>
      </c>
      <c r="H379" s="90" t="str">
        <f t="shared" si="50"/>
        <v/>
      </c>
      <c r="I379" s="90" t="str">
        <f t="shared" si="51"/>
        <v/>
      </c>
      <c r="J379" s="90" t="str">
        <f t="shared" si="52"/>
        <v/>
      </c>
    </row>
    <row r="380" spans="2:10" x14ac:dyDescent="0.25">
      <c r="B380" s="78" t="str">
        <f t="shared" si="46"/>
        <v/>
      </c>
      <c r="C380" s="383" t="str">
        <f t="shared" si="53"/>
        <v/>
      </c>
      <c r="D380" s="90" t="str">
        <f t="shared" si="54"/>
        <v/>
      </c>
      <c r="E380" s="90" t="str">
        <f t="shared" si="47"/>
        <v/>
      </c>
      <c r="F380" s="90" t="str">
        <f t="shared" si="48"/>
        <v/>
      </c>
      <c r="G380" s="90" t="str">
        <f t="shared" si="49"/>
        <v/>
      </c>
      <c r="H380" s="90" t="str">
        <f t="shared" si="50"/>
        <v/>
      </c>
      <c r="I380" s="90" t="str">
        <f t="shared" si="51"/>
        <v/>
      </c>
      <c r="J380" s="90" t="str">
        <f t="shared" si="52"/>
        <v/>
      </c>
    </row>
    <row r="381" spans="2:10" x14ac:dyDescent="0.25">
      <c r="J381" s="90" t="str">
        <f t="shared" si="52"/>
        <v/>
      </c>
    </row>
  </sheetData>
  <sheetProtection algorithmName="SHA-512" hashValue="9mk8FuazspyYZ3WCVbdn0XKRIVYKYjJRldXPWscYc1kl5mczdWwbOiXtUfnYNM+loXtPHBkPN4wL2JBiAkYzkw==" saltValue="ISVIR1jaFAbMjK0ktJCmUA==" spinCount="100000" sheet="1" objects="1" scenarios="1"/>
  <mergeCells count="1">
    <mergeCell ref="H5:J5"/>
  </mergeCells>
  <pageMargins left="0.7" right="0.7" top="0.78740157499999996" bottom="0.78740157499999996" header="0.3" footer="0.3"/>
  <pageSetup paperSize="9" scale="44" fitToHeight="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3"/>
  <sheetViews>
    <sheetView zoomScale="80" zoomScaleNormal="80" workbookViewId="0">
      <selection activeCell="B7" sqref="B7"/>
    </sheetView>
  </sheetViews>
  <sheetFormatPr baseColWidth="10" defaultColWidth="11.19921875" defaultRowHeight="13.8" x14ac:dyDescent="0.25"/>
  <cols>
    <col min="1" max="1" width="42.796875" style="78" customWidth="1"/>
    <col min="2" max="2" width="16.69921875" style="78" customWidth="1"/>
    <col min="3" max="4" width="15.796875" style="78" customWidth="1"/>
    <col min="5" max="10" width="11.19921875" style="78"/>
    <col min="11" max="11" width="12.8984375" style="78" customWidth="1"/>
    <col min="12" max="12" width="22.69921875" style="78" customWidth="1"/>
    <col min="13" max="16" width="11.19921875" style="78"/>
    <col min="17" max="17" width="14.19921875" style="78" customWidth="1"/>
    <col min="18" max="18" width="23.09765625" style="78" customWidth="1"/>
    <col min="19" max="19" width="12.19921875" style="78" bestFit="1" customWidth="1"/>
    <col min="20" max="16384" width="11.19921875" style="78"/>
  </cols>
  <sheetData>
    <row r="1" spans="1:19" ht="21" x14ac:dyDescent="0.4">
      <c r="A1" s="388" t="s">
        <v>174</v>
      </c>
      <c r="E1" s="388"/>
      <c r="L1" s="388"/>
      <c r="R1" s="388"/>
    </row>
    <row r="3" spans="1:19" ht="17.399999999999999" x14ac:dyDescent="0.3">
      <c r="A3" s="389" t="s">
        <v>175</v>
      </c>
      <c r="E3" s="113"/>
    </row>
    <row r="5" spans="1:19" x14ac:dyDescent="0.25">
      <c r="G5" s="390"/>
      <c r="H5" s="129"/>
      <c r="I5" s="129"/>
      <c r="J5" s="129"/>
    </row>
    <row r="6" spans="1:19" x14ac:dyDescent="0.25">
      <c r="A6" s="113" t="s">
        <v>177</v>
      </c>
      <c r="B6" s="85" t="s">
        <v>178</v>
      </c>
      <c r="C6" s="78" t="s">
        <v>179</v>
      </c>
      <c r="E6" s="391"/>
      <c r="G6" s="129"/>
      <c r="H6" s="129"/>
      <c r="I6" s="129"/>
      <c r="J6" s="129"/>
      <c r="S6" s="392"/>
    </row>
    <row r="7" spans="1:19" x14ac:dyDescent="0.25">
      <c r="A7" s="113" t="s">
        <v>180</v>
      </c>
      <c r="B7" s="432">
        <v>3.65</v>
      </c>
      <c r="G7" s="129"/>
      <c r="H7" s="129"/>
      <c r="I7" s="129"/>
      <c r="J7" s="129"/>
    </row>
    <row r="8" spans="1:19" x14ac:dyDescent="0.25">
      <c r="G8" s="129"/>
      <c r="H8" s="129"/>
      <c r="I8" s="129"/>
      <c r="J8" s="129"/>
      <c r="S8" s="393"/>
    </row>
    <row r="9" spans="1:19" x14ac:dyDescent="0.25">
      <c r="G9" s="129"/>
      <c r="H9" s="129"/>
      <c r="I9" s="129"/>
      <c r="J9" s="129"/>
      <c r="M9" s="394"/>
    </row>
    <row r="10" spans="1:19" ht="20.399999999999999" x14ac:dyDescent="0.35">
      <c r="A10" s="395" t="s">
        <v>181</v>
      </c>
      <c r="G10" s="129"/>
      <c r="H10" s="129"/>
      <c r="I10" s="129"/>
      <c r="J10" s="129"/>
    </row>
    <row r="11" spans="1:19" ht="14.4" thickBot="1" x14ac:dyDescent="0.3">
      <c r="G11" s="129"/>
      <c r="H11" s="129"/>
      <c r="I11" s="129"/>
      <c r="J11" s="129"/>
    </row>
    <row r="12" spans="1:19" x14ac:dyDescent="0.25">
      <c r="A12" s="396" t="s">
        <v>182</v>
      </c>
      <c r="B12" s="397"/>
      <c r="C12" s="396" t="s">
        <v>304</v>
      </c>
      <c r="D12" s="397"/>
      <c r="G12" s="129"/>
      <c r="H12" s="129"/>
      <c r="I12" s="129"/>
      <c r="J12" s="129"/>
    </row>
    <row r="13" spans="1:19" x14ac:dyDescent="0.25">
      <c r="A13" s="398"/>
      <c r="B13" s="399"/>
      <c r="C13" s="398"/>
      <c r="D13" s="399"/>
      <c r="G13" s="129"/>
      <c r="H13" s="129"/>
      <c r="I13" s="129"/>
      <c r="J13" s="129"/>
      <c r="Q13" s="400"/>
    </row>
    <row r="14" spans="1:19" x14ac:dyDescent="0.25">
      <c r="A14" s="401" t="s">
        <v>183</v>
      </c>
      <c r="B14" s="402">
        <f>IF('8. Gewinn-Rentabilität'!B46&gt;0,'8. Gewinn-Rentabilität'!B46,0)</f>
        <v>103704.36448126579</v>
      </c>
      <c r="C14" s="401"/>
      <c r="D14" s="403">
        <f>IF('8. Gewinn-Rentabilität'!C46&gt;0,'8. Gewinn-Rentabilität'!C46,0)</f>
        <v>103704.36448126579</v>
      </c>
      <c r="G14" s="129"/>
      <c r="H14" s="129"/>
      <c r="I14" s="16"/>
      <c r="J14" s="129"/>
    </row>
    <row r="15" spans="1:19" x14ac:dyDescent="0.25">
      <c r="A15" s="398" t="s">
        <v>184</v>
      </c>
      <c r="B15" s="404">
        <f>IF(B14&gt;100,B14,0)</f>
        <v>103704.36448126579</v>
      </c>
      <c r="C15" s="405"/>
      <c r="D15" s="406">
        <f>IF(D14&gt;100,D14,0)</f>
        <v>103704.36448126579</v>
      </c>
      <c r="E15" s="391"/>
      <c r="G15" s="390"/>
      <c r="H15" s="129"/>
      <c r="I15" s="129"/>
      <c r="J15" s="129"/>
    </row>
    <row r="16" spans="1:19" x14ac:dyDescent="0.25">
      <c r="A16" s="407" t="s">
        <v>185</v>
      </c>
      <c r="B16" s="408">
        <f>IF(B15&gt;24500,B15-24500,0)</f>
        <v>79204.364481265788</v>
      </c>
      <c r="C16" s="407" t="s">
        <v>186</v>
      </c>
      <c r="D16" s="409">
        <f>D15</f>
        <v>103704.36448126579</v>
      </c>
      <c r="G16" s="390"/>
      <c r="H16" s="129"/>
      <c r="I16" s="129"/>
      <c r="J16" s="129"/>
    </row>
    <row r="17" spans="1:5" x14ac:dyDescent="0.25">
      <c r="A17" s="398" t="s">
        <v>187</v>
      </c>
      <c r="B17" s="406"/>
      <c r="C17" s="401"/>
      <c r="D17" s="410"/>
    </row>
    <row r="18" spans="1:5" x14ac:dyDescent="0.25">
      <c r="A18" s="405" t="s">
        <v>188</v>
      </c>
      <c r="B18" s="404">
        <f>B16*0.035</f>
        <v>2772.152756844303</v>
      </c>
      <c r="C18" s="405"/>
      <c r="D18" s="404">
        <f>D16*0.035</f>
        <v>3629.652756844303</v>
      </c>
    </row>
    <row r="19" spans="1:5" x14ac:dyDescent="0.25">
      <c r="A19" s="401" t="s">
        <v>189</v>
      </c>
      <c r="B19" s="411">
        <f>B7</f>
        <v>3.65</v>
      </c>
      <c r="C19" s="401"/>
      <c r="D19" s="412">
        <f>B7</f>
        <v>3.65</v>
      </c>
    </row>
    <row r="20" spans="1:5" x14ac:dyDescent="0.25">
      <c r="A20" s="413" t="s">
        <v>409</v>
      </c>
      <c r="B20" s="414">
        <f>B18*B19</f>
        <v>10118.357562481706</v>
      </c>
      <c r="C20" s="405"/>
      <c r="D20" s="415">
        <f>D18*D19</f>
        <v>13248.232562481706</v>
      </c>
    </row>
    <row r="21" spans="1:5" x14ac:dyDescent="0.25">
      <c r="A21" s="398"/>
      <c r="B21" s="145"/>
      <c r="C21" s="416"/>
      <c r="D21" s="416"/>
    </row>
    <row r="22" spans="1:5" x14ac:dyDescent="0.25">
      <c r="E22" s="113"/>
    </row>
    <row r="24" spans="1:5" ht="21" x14ac:dyDescent="0.4">
      <c r="A24" s="388" t="s">
        <v>364</v>
      </c>
    </row>
    <row r="25" spans="1:5" ht="14.4" thickBot="1" x14ac:dyDescent="0.3"/>
    <row r="26" spans="1:5" x14ac:dyDescent="0.25">
      <c r="A26" s="417"/>
      <c r="B26" s="397"/>
      <c r="C26" s="396" t="s">
        <v>365</v>
      </c>
      <c r="D26" s="397"/>
    </row>
    <row r="27" spans="1:5" x14ac:dyDescent="0.25">
      <c r="A27" s="398"/>
      <c r="B27" s="399"/>
      <c r="C27" s="398"/>
      <c r="D27" s="399"/>
    </row>
    <row r="28" spans="1:5" x14ac:dyDescent="0.25">
      <c r="A28" s="401" t="s">
        <v>176</v>
      </c>
      <c r="B28" s="418"/>
      <c r="C28" s="401"/>
      <c r="D28" s="419">
        <f>D14</f>
        <v>103704.36448126579</v>
      </c>
    </row>
    <row r="29" spans="1:5" x14ac:dyDescent="0.25">
      <c r="A29" s="405" t="s">
        <v>366</v>
      </c>
      <c r="B29" s="420"/>
      <c r="C29" s="405"/>
      <c r="D29" s="421">
        <v>0.15</v>
      </c>
    </row>
    <row r="30" spans="1:5" x14ac:dyDescent="0.25">
      <c r="A30" s="422" t="s">
        <v>410</v>
      </c>
      <c r="B30" s="423"/>
      <c r="C30" s="407"/>
      <c r="D30" s="424">
        <f>D28*D29</f>
        <v>15555.654672189867</v>
      </c>
    </row>
    <row r="31" spans="1:5" x14ac:dyDescent="0.25">
      <c r="A31" s="398"/>
      <c r="B31" s="145"/>
      <c r="C31" s="416"/>
      <c r="D31" s="416"/>
    </row>
    <row r="33" spans="1:5" ht="21" x14ac:dyDescent="0.4">
      <c r="A33" s="388" t="s">
        <v>385</v>
      </c>
      <c r="E33" s="113"/>
    </row>
    <row r="34" spans="1:5" ht="14.4" thickBot="1" x14ac:dyDescent="0.3"/>
    <row r="35" spans="1:5" x14ac:dyDescent="0.25">
      <c r="A35" s="396" t="s">
        <v>182</v>
      </c>
      <c r="B35" s="397"/>
      <c r="C35" s="396" t="s">
        <v>304</v>
      </c>
      <c r="D35" s="397"/>
    </row>
    <row r="36" spans="1:5" x14ac:dyDescent="0.25">
      <c r="A36" s="398"/>
      <c r="B36" s="399"/>
      <c r="C36" s="398"/>
      <c r="D36" s="399"/>
    </row>
    <row r="37" spans="1:5" x14ac:dyDescent="0.25">
      <c r="A37" s="401" t="s">
        <v>386</v>
      </c>
      <c r="B37" s="410" t="s">
        <v>388</v>
      </c>
      <c r="C37" s="401" t="s">
        <v>390</v>
      </c>
      <c r="D37" s="410"/>
    </row>
    <row r="38" spans="1:5" x14ac:dyDescent="0.25">
      <c r="A38" s="405"/>
      <c r="B38" s="425" t="s">
        <v>389</v>
      </c>
      <c r="C38" s="405"/>
      <c r="D38" s="426">
        <f>D30</f>
        <v>15555.654672189867</v>
      </c>
      <c r="E38" s="113"/>
    </row>
    <row r="39" spans="1:5" x14ac:dyDescent="0.25">
      <c r="A39" s="407" t="s">
        <v>387</v>
      </c>
      <c r="B39" s="427">
        <v>5.5E-2</v>
      </c>
      <c r="C39" s="407"/>
      <c r="D39" s="427">
        <v>5.5E-2</v>
      </c>
    </row>
    <row r="40" spans="1:5" x14ac:dyDescent="0.25">
      <c r="A40" s="407" t="s">
        <v>402</v>
      </c>
      <c r="B40" s="408">
        <v>16956</v>
      </c>
      <c r="C40" s="407" t="s">
        <v>186</v>
      </c>
      <c r="D40" s="408">
        <v>0</v>
      </c>
    </row>
    <row r="41" spans="1:5" ht="14.4" thickBot="1" x14ac:dyDescent="0.3">
      <c r="A41" s="428" t="s">
        <v>411</v>
      </c>
      <c r="B41" s="429" t="s">
        <v>391</v>
      </c>
      <c r="C41" s="430"/>
      <c r="D41" s="431">
        <f>D30*D39</f>
        <v>855.56100697044269</v>
      </c>
    </row>
    <row r="43" spans="1:5" x14ac:dyDescent="0.25">
      <c r="A43" s="113" t="s">
        <v>415</v>
      </c>
      <c r="B43" s="332">
        <f>B20</f>
        <v>10118.357562481706</v>
      </c>
      <c r="D43" s="332">
        <f>D20+D30+D41</f>
        <v>29659.448241642014</v>
      </c>
    </row>
  </sheetData>
  <sheetProtection algorithmName="SHA-512" hashValue="c7w0JmCwVq9D3pGgflY5cKnM4CPon2pa695Mh/UEh/oqAh1aGAfz3ZV43yCyhkLf8pAuVPAYS3lP51NWQUr37g==" saltValue="QYlvq/gTIp1nZshuVtmrlw==" spinCount="100000" sheet="1" objects="1" scenarios="1"/>
  <pageMargins left="0.70866141732283472" right="0.31496062992125984" top="0.78740157480314965" bottom="0.78740157480314965" header="0.31496062992125984" footer="0.31496062992125984"/>
  <pageSetup paperSize="9" scale="93" fitToHeight="0" orientation="portrait" horizontalDpi="4294967295" verticalDpi="4294967295"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10"/>
  <sheetViews>
    <sheetView topLeftCell="A19" zoomScale="80" zoomScaleNormal="80" workbookViewId="0">
      <selection activeCell="B21" sqref="B21"/>
    </sheetView>
  </sheetViews>
  <sheetFormatPr baseColWidth="10" defaultColWidth="11.19921875" defaultRowHeight="13.8" x14ac:dyDescent="0.25"/>
  <cols>
    <col min="1" max="1" width="40.8984375" style="78" customWidth="1"/>
    <col min="2" max="2" width="19.796875" style="78" customWidth="1"/>
    <col min="3" max="3" width="19.796875" style="90" customWidth="1"/>
    <col min="4" max="5" width="11.19921875" style="78"/>
    <col min="6" max="6" width="13" style="78" customWidth="1"/>
    <col min="7" max="7" width="13.09765625" style="78" customWidth="1"/>
    <col min="8" max="16384" width="11.19921875" style="78"/>
  </cols>
  <sheetData>
    <row r="1" spans="1:5" ht="21" x14ac:dyDescent="0.4">
      <c r="A1" s="388" t="s">
        <v>0</v>
      </c>
    </row>
    <row r="2" spans="1:5" ht="14.4" thickBot="1" x14ac:dyDescent="0.3"/>
    <row r="3" spans="1:5" ht="17.399999999999999" x14ac:dyDescent="0.3">
      <c r="A3" s="433" t="s">
        <v>1</v>
      </c>
      <c r="B3" s="434" t="s">
        <v>178</v>
      </c>
      <c r="C3" s="435" t="s">
        <v>305</v>
      </c>
      <c r="E3" s="326"/>
    </row>
    <row r="4" spans="1:5" x14ac:dyDescent="0.25">
      <c r="A4" s="436" t="s">
        <v>147</v>
      </c>
      <c r="B4" s="437">
        <f>'2. Produkte Verschluss'!I185</f>
        <v>210842.88198682471</v>
      </c>
      <c r="C4" s="438">
        <f>'2. Produkte Verschluss'!I185</f>
        <v>210842.88198682471</v>
      </c>
      <c r="E4" s="326"/>
    </row>
    <row r="5" spans="1:5" x14ac:dyDescent="0.25">
      <c r="A5" s="439" t="s">
        <v>274</v>
      </c>
      <c r="B5" s="440"/>
      <c r="C5" s="441"/>
      <c r="E5" s="326"/>
    </row>
    <row r="6" spans="1:5" x14ac:dyDescent="0.25">
      <c r="A6" s="442"/>
      <c r="B6" s="443"/>
      <c r="C6" s="444"/>
    </row>
    <row r="7" spans="1:5" x14ac:dyDescent="0.25">
      <c r="A7" s="445" t="s">
        <v>153</v>
      </c>
      <c r="B7" s="498"/>
      <c r="C7" s="501"/>
      <c r="D7" s="326"/>
    </row>
    <row r="8" spans="1:5" x14ac:dyDescent="0.25">
      <c r="A8" s="436" t="s">
        <v>4</v>
      </c>
      <c r="B8" s="499"/>
      <c r="C8" s="502"/>
      <c r="D8" s="326"/>
    </row>
    <row r="9" spans="1:5" x14ac:dyDescent="0.25">
      <c r="A9" s="439"/>
      <c r="B9" s="500"/>
      <c r="C9" s="503"/>
      <c r="D9" s="326"/>
    </row>
    <row r="10" spans="1:5" ht="14.4" thickBot="1" x14ac:dyDescent="0.3">
      <c r="A10" s="446" t="s">
        <v>158</v>
      </c>
      <c r="B10" s="447">
        <f>SUM(B4:B9)</f>
        <v>210842.88198682471</v>
      </c>
      <c r="C10" s="448">
        <f>SUM(C4:C9)</f>
        <v>210842.88198682471</v>
      </c>
    </row>
    <row r="11" spans="1:5" ht="14.4" thickBot="1" x14ac:dyDescent="0.3">
      <c r="A11" s="449"/>
      <c r="B11" s="450"/>
      <c r="C11" s="451"/>
    </row>
    <row r="12" spans="1:5" ht="17.399999999999999" x14ac:dyDescent="0.3">
      <c r="A12" s="452" t="s">
        <v>524</v>
      </c>
      <c r="B12" s="453"/>
      <c r="C12" s="454"/>
    </row>
    <row r="13" spans="1:5" x14ac:dyDescent="0.25">
      <c r="A13" s="455" t="s">
        <v>199</v>
      </c>
      <c r="B13" s="456"/>
      <c r="C13" s="457"/>
    </row>
    <row r="14" spans="1:5" x14ac:dyDescent="0.25">
      <c r="A14" s="458" t="s">
        <v>148</v>
      </c>
      <c r="B14" s="537">
        <f>('2. Produkte Verschluss'!I184)</f>
        <v>74225.738754753198</v>
      </c>
      <c r="C14" s="538">
        <f>('2. Produkte Verschluss'!I184)</f>
        <v>74225.738754753198</v>
      </c>
      <c r="E14" s="400"/>
    </row>
    <row r="15" spans="1:5" x14ac:dyDescent="0.25">
      <c r="A15" s="439" t="s">
        <v>274</v>
      </c>
      <c r="B15" s="539"/>
      <c r="C15" s="540"/>
    </row>
    <row r="16" spans="1:5" x14ac:dyDescent="0.25">
      <c r="A16" s="439"/>
      <c r="B16" s="539"/>
      <c r="C16" s="540"/>
    </row>
    <row r="17" spans="1:4" x14ac:dyDescent="0.25">
      <c r="A17" s="459" t="s">
        <v>149</v>
      </c>
      <c r="B17" s="539"/>
      <c r="C17" s="540"/>
    </row>
    <row r="18" spans="1:4" ht="14.4" thickBot="1" x14ac:dyDescent="0.3">
      <c r="A18" s="442" t="s">
        <v>150</v>
      </c>
      <c r="B18" s="541">
        <f>'5. sonst. Gemeink.'!B8</f>
        <v>1050</v>
      </c>
      <c r="C18" s="541">
        <f>'5. sonst. Gemeink.'!B8</f>
        <v>1050</v>
      </c>
    </row>
    <row r="19" spans="1:4" x14ac:dyDescent="0.25">
      <c r="A19" s="460" t="s">
        <v>151</v>
      </c>
      <c r="B19" s="542"/>
      <c r="C19" s="543"/>
    </row>
    <row r="20" spans="1:4" x14ac:dyDescent="0.25">
      <c r="A20" s="436" t="s">
        <v>200</v>
      </c>
      <c r="B20" s="544">
        <v>10000</v>
      </c>
      <c r="C20" s="545">
        <v>10000</v>
      </c>
      <c r="D20" s="326"/>
    </row>
    <row r="21" spans="1:4" x14ac:dyDescent="0.25">
      <c r="A21" s="439" t="s">
        <v>201</v>
      </c>
      <c r="B21" s="546"/>
      <c r="C21" s="547"/>
      <c r="D21" s="326"/>
    </row>
    <row r="22" spans="1:4" ht="14.4" thickBot="1" x14ac:dyDescent="0.3">
      <c r="A22" s="442"/>
      <c r="B22" s="548"/>
      <c r="C22" s="549"/>
      <c r="D22" s="326"/>
    </row>
    <row r="23" spans="1:4" x14ac:dyDescent="0.25">
      <c r="A23" s="461" t="s">
        <v>202</v>
      </c>
      <c r="B23" s="550"/>
      <c r="C23" s="543"/>
      <c r="D23" s="326"/>
    </row>
    <row r="24" spans="1:4" x14ac:dyDescent="0.25">
      <c r="A24" s="436" t="s">
        <v>203</v>
      </c>
      <c r="B24" s="551">
        <f>'4. Inventar'!F34</f>
        <v>11388.205</v>
      </c>
      <c r="C24" s="552">
        <f>'4. Inventar'!F34</f>
        <v>11388.205</v>
      </c>
      <c r="D24" s="326"/>
    </row>
    <row r="25" spans="1:4" x14ac:dyDescent="0.25">
      <c r="A25" s="439" t="s">
        <v>152</v>
      </c>
      <c r="B25" s="539"/>
      <c r="C25" s="540"/>
      <c r="D25" s="326"/>
    </row>
    <row r="26" spans="1:4" ht="14.4" thickBot="1" x14ac:dyDescent="0.3">
      <c r="A26" s="442"/>
      <c r="B26" s="548"/>
      <c r="C26" s="549"/>
      <c r="D26" s="326"/>
    </row>
    <row r="27" spans="1:4" x14ac:dyDescent="0.25">
      <c r="A27" s="460" t="s">
        <v>155</v>
      </c>
      <c r="B27" s="542"/>
      <c r="C27" s="543"/>
      <c r="D27" s="326"/>
    </row>
    <row r="28" spans="1:4" x14ac:dyDescent="0.25">
      <c r="A28" s="462" t="s">
        <v>204</v>
      </c>
      <c r="B28" s="537"/>
      <c r="C28" s="538"/>
      <c r="D28" s="326"/>
    </row>
    <row r="29" spans="1:4" x14ac:dyDescent="0.25">
      <c r="A29" s="439" t="s">
        <v>154</v>
      </c>
      <c r="B29" s="553">
        <f>'4. Inventar'!H34</f>
        <v>2502.5882000000001</v>
      </c>
      <c r="C29" s="554">
        <f>'4. Inventar'!H34</f>
        <v>2502.5882000000001</v>
      </c>
      <c r="D29" s="326"/>
    </row>
    <row r="30" spans="1:4" x14ac:dyDescent="0.25">
      <c r="A30" s="439" t="s">
        <v>152</v>
      </c>
      <c r="B30" s="539"/>
      <c r="C30" s="540"/>
      <c r="D30" s="326"/>
    </row>
    <row r="31" spans="1:4" x14ac:dyDescent="0.25">
      <c r="A31" s="439"/>
      <c r="B31" s="539"/>
      <c r="C31" s="540"/>
      <c r="D31" s="326"/>
    </row>
    <row r="32" spans="1:4" x14ac:dyDescent="0.25">
      <c r="A32" s="463" t="s">
        <v>156</v>
      </c>
      <c r="B32" s="539"/>
      <c r="C32" s="540"/>
      <c r="D32" s="326"/>
    </row>
    <row r="33" spans="1:7" x14ac:dyDescent="0.25">
      <c r="A33" s="439" t="s">
        <v>150</v>
      </c>
      <c r="B33" s="553">
        <f>'5. sonst. Gemeink.'!B16</f>
        <v>3000</v>
      </c>
      <c r="C33" s="554">
        <f>'5. sonst. Gemeink.'!B16</f>
        <v>3000</v>
      </c>
      <c r="D33" s="326"/>
    </row>
    <row r="34" spans="1:7" x14ac:dyDescent="0.25">
      <c r="A34" s="439"/>
      <c r="B34" s="539"/>
      <c r="C34" s="540"/>
      <c r="D34" s="326"/>
    </row>
    <row r="35" spans="1:7" x14ac:dyDescent="0.25">
      <c r="A35" s="463" t="s">
        <v>20</v>
      </c>
      <c r="B35" s="540"/>
      <c r="C35" s="540"/>
      <c r="D35" s="326"/>
    </row>
    <row r="36" spans="1:7" ht="14.4" thickBot="1" x14ac:dyDescent="0.3">
      <c r="A36" s="442" t="s">
        <v>150</v>
      </c>
      <c r="B36" s="541">
        <f>'5. sonst. Gemeink.'!B29</f>
        <v>2000</v>
      </c>
      <c r="C36" s="555">
        <f>'5. sonst. Gemeink.'!B29</f>
        <v>2000</v>
      </c>
      <c r="D36" s="326"/>
    </row>
    <row r="37" spans="1:7" x14ac:dyDescent="0.25">
      <c r="A37" s="460" t="s">
        <v>205</v>
      </c>
      <c r="B37" s="542"/>
      <c r="C37" s="543"/>
      <c r="D37" s="326"/>
    </row>
    <row r="38" spans="1:7" x14ac:dyDescent="0.25">
      <c r="A38" s="436" t="s">
        <v>206</v>
      </c>
      <c r="B38" s="551">
        <f>'6. Fremdkapital'!E17</f>
        <v>2761.9855508057203</v>
      </c>
      <c r="C38" s="552">
        <f>'6. Fremdkapital'!E17</f>
        <v>2761.9855508057203</v>
      </c>
      <c r="D38" s="326"/>
    </row>
    <row r="39" spans="1:7" ht="14.4" thickBot="1" x14ac:dyDescent="0.3">
      <c r="A39" s="442"/>
      <c r="B39" s="548"/>
      <c r="C39" s="549"/>
      <c r="D39" s="326"/>
    </row>
    <row r="40" spans="1:7" x14ac:dyDescent="0.25">
      <c r="A40" s="460" t="s">
        <v>207</v>
      </c>
      <c r="B40" s="542"/>
      <c r="C40" s="543"/>
      <c r="D40" s="326"/>
    </row>
    <row r="41" spans="1:7" x14ac:dyDescent="0.25">
      <c r="A41" s="436" t="s">
        <v>6</v>
      </c>
      <c r="B41" s="556"/>
      <c r="C41" s="545"/>
      <c r="D41" s="326"/>
    </row>
    <row r="42" spans="1:7" x14ac:dyDescent="0.25">
      <c r="A42" s="439" t="s">
        <v>208</v>
      </c>
      <c r="B42" s="546">
        <v>210</v>
      </c>
      <c r="C42" s="547">
        <v>210</v>
      </c>
      <c r="D42" s="326"/>
    </row>
    <row r="43" spans="1:7" ht="14.4" thickBot="1" x14ac:dyDescent="0.3">
      <c r="A43" s="442"/>
      <c r="B43" s="548"/>
      <c r="C43" s="549"/>
      <c r="D43" s="326"/>
    </row>
    <row r="44" spans="1:7" x14ac:dyDescent="0.25">
      <c r="A44" s="460" t="s">
        <v>157</v>
      </c>
      <c r="B44" s="557">
        <f>SUM(B14:B43)</f>
        <v>107138.51750555892</v>
      </c>
      <c r="C44" s="558">
        <f>SUM(C14:C43)</f>
        <v>107138.51750555892</v>
      </c>
    </row>
    <row r="45" spans="1:7" ht="14.4" thickBot="1" x14ac:dyDescent="0.3">
      <c r="A45" s="464"/>
      <c r="B45" s="464"/>
      <c r="C45" s="465"/>
    </row>
    <row r="46" spans="1:7" ht="18" thickBot="1" x14ac:dyDescent="0.35">
      <c r="A46" s="466" t="s">
        <v>172</v>
      </c>
      <c r="B46" s="559">
        <f>B10-B44</f>
        <v>103704.36448126579</v>
      </c>
      <c r="C46" s="467">
        <f>C10-C44</f>
        <v>103704.36448126579</v>
      </c>
      <c r="G46" s="561"/>
    </row>
    <row r="47" spans="1:7" ht="26.4" thickBot="1" x14ac:dyDescent="0.3">
      <c r="A47" s="468" t="s">
        <v>406</v>
      </c>
      <c r="B47" s="560">
        <f>'7. Gewerbe- Körperschaftsteuer '!B20</f>
        <v>10118.357562481706</v>
      </c>
      <c r="C47" s="560">
        <f>('7. Gewerbe- Körperschaftsteuer '!D20+'7. Gewerbe- Körperschaftsteuer '!D30+'7. Gewerbe- Körperschaftsteuer '!D41)</f>
        <v>29659.448241642014</v>
      </c>
      <c r="D47" s="326"/>
    </row>
    <row r="48" spans="1:7" ht="18" thickBot="1" x14ac:dyDescent="0.35">
      <c r="A48" s="469" t="s">
        <v>173</v>
      </c>
      <c r="B48" s="562">
        <f>B46-B47</f>
        <v>93586.006918784085</v>
      </c>
      <c r="C48" s="470">
        <f>C46-C47</f>
        <v>74044.916239623766</v>
      </c>
    </row>
    <row r="49" spans="1:11" ht="18.600000000000001" thickTop="1" thickBot="1" x14ac:dyDescent="0.35">
      <c r="A49" s="471"/>
      <c r="B49" s="472"/>
      <c r="C49" s="473"/>
    </row>
    <row r="50" spans="1:11" ht="17.399999999999999" x14ac:dyDescent="0.3">
      <c r="A50" s="518"/>
      <c r="B50" s="519"/>
      <c r="C50" s="520"/>
    </row>
    <row r="51" spans="1:11" ht="17.399999999999999" x14ac:dyDescent="0.3">
      <c r="A51" s="518" t="s">
        <v>482</v>
      </c>
      <c r="B51" s="519"/>
      <c r="C51" s="520"/>
    </row>
    <row r="52" spans="1:11" s="524" customFormat="1" ht="17.399999999999999" x14ac:dyDescent="0.3">
      <c r="A52" s="521" t="s">
        <v>521</v>
      </c>
      <c r="C52" s="523"/>
    </row>
    <row r="53" spans="1:11" s="524" customFormat="1" ht="17.399999999999999" x14ac:dyDescent="0.3">
      <c r="A53" s="522" t="s">
        <v>483</v>
      </c>
      <c r="C53" s="523"/>
    </row>
    <row r="54" spans="1:11" s="524" customFormat="1" ht="17.399999999999999" x14ac:dyDescent="0.3">
      <c r="A54" s="522" t="s">
        <v>484</v>
      </c>
      <c r="C54" s="523"/>
    </row>
    <row r="55" spans="1:11" s="524" customFormat="1" ht="17.399999999999999" x14ac:dyDescent="0.3">
      <c r="A55" s="522" t="s">
        <v>485</v>
      </c>
      <c r="C55" s="523"/>
    </row>
    <row r="56" spans="1:11" s="524" customFormat="1" ht="17.399999999999999" x14ac:dyDescent="0.3">
      <c r="A56" s="522" t="s">
        <v>486</v>
      </c>
      <c r="C56" s="523"/>
    </row>
    <row r="57" spans="1:11" s="524" customFormat="1" ht="17.399999999999999" x14ac:dyDescent="0.3">
      <c r="A57" s="522" t="s">
        <v>522</v>
      </c>
      <c r="C57" s="523"/>
    </row>
    <row r="58" spans="1:11" s="524" customFormat="1" ht="17.399999999999999" x14ac:dyDescent="0.3">
      <c r="A58" s="522" t="s">
        <v>487</v>
      </c>
      <c r="C58" s="525"/>
      <c r="D58" s="334"/>
    </row>
    <row r="59" spans="1:11" s="524" customFormat="1" ht="17.399999999999999" x14ac:dyDescent="0.3">
      <c r="A59" s="389" t="s">
        <v>520</v>
      </c>
      <c r="B59" s="389"/>
      <c r="C59" s="525"/>
      <c r="D59" s="334"/>
    </row>
    <row r="60" spans="1:11" s="524" customFormat="1" ht="17.399999999999999" x14ac:dyDescent="0.3">
      <c r="B60" s="389"/>
      <c r="C60" s="525"/>
      <c r="D60" s="334"/>
    </row>
    <row r="61" spans="1:11" s="524" customFormat="1" ht="17.399999999999999" x14ac:dyDescent="0.3">
      <c r="A61" s="318" t="s">
        <v>480</v>
      </c>
      <c r="B61" s="389"/>
      <c r="C61" s="525"/>
      <c r="D61" s="334"/>
    </row>
    <row r="62" spans="1:11" s="524" customFormat="1" ht="17.399999999999999" x14ac:dyDescent="0.3">
      <c r="A62" s="389" t="s">
        <v>488</v>
      </c>
      <c r="B62" s="389"/>
      <c r="C62" s="525"/>
      <c r="D62" s="334"/>
    </row>
    <row r="63" spans="1:11" ht="17.399999999999999" x14ac:dyDescent="0.3">
      <c r="A63" s="389" t="s">
        <v>489</v>
      </c>
      <c r="C63" s="78"/>
      <c r="D63" s="475"/>
      <c r="E63" s="476"/>
      <c r="F63" s="85"/>
      <c r="G63" s="477"/>
      <c r="H63" s="85"/>
      <c r="I63" s="85"/>
      <c r="J63" s="85"/>
      <c r="K63" s="85"/>
    </row>
    <row r="64" spans="1:11" ht="17.399999999999999" x14ac:dyDescent="0.3">
      <c r="A64" s="389" t="s">
        <v>490</v>
      </c>
      <c r="C64" s="78"/>
      <c r="D64" s="90"/>
    </row>
    <row r="65" spans="1:8" ht="17.399999999999999" x14ac:dyDescent="0.3">
      <c r="A65" s="389" t="s">
        <v>491</v>
      </c>
      <c r="C65" s="78"/>
      <c r="D65" s="475"/>
      <c r="E65" s="481"/>
      <c r="F65" s="85"/>
      <c r="G65" s="482"/>
      <c r="H65" s="483"/>
    </row>
    <row r="66" spans="1:8" ht="17.399999999999999" x14ac:dyDescent="0.3">
      <c r="A66" s="389" t="s">
        <v>481</v>
      </c>
      <c r="C66" s="78"/>
      <c r="D66" s="90"/>
      <c r="E66" s="326"/>
    </row>
    <row r="67" spans="1:8" x14ac:dyDescent="0.25">
      <c r="C67" s="78"/>
      <c r="D67" s="90"/>
      <c r="E67" s="326"/>
    </row>
    <row r="68" spans="1:8" ht="18" thickBot="1" x14ac:dyDescent="0.35">
      <c r="A68" s="474" t="s">
        <v>326</v>
      </c>
      <c r="D68" s="90"/>
      <c r="E68" s="326"/>
    </row>
    <row r="69" spans="1:8" x14ac:dyDescent="0.25">
      <c r="A69" s="478" t="s">
        <v>312</v>
      </c>
      <c r="B69" s="479"/>
      <c r="C69" s="480"/>
      <c r="D69" s="90"/>
    </row>
    <row r="70" spans="1:8" x14ac:dyDescent="0.25">
      <c r="A70" s="398" t="s">
        <v>523</v>
      </c>
      <c r="B70" s="504">
        <v>25</v>
      </c>
      <c r="C70" s="505">
        <v>25</v>
      </c>
    </row>
    <row r="71" spans="1:8" x14ac:dyDescent="0.25">
      <c r="A71" s="484" t="s">
        <v>306</v>
      </c>
      <c r="B71" s="485">
        <f>'2. Produkte Verschluss'!I187</f>
        <v>2932.48916160216</v>
      </c>
      <c r="C71" s="486">
        <f>'2. Produkte Verschluss'!I187</f>
        <v>2932.48916160216</v>
      </c>
    </row>
    <row r="72" spans="1:8" ht="14.4" thickBot="1" x14ac:dyDescent="0.3">
      <c r="A72" s="487" t="s">
        <v>7</v>
      </c>
      <c r="B72" s="488">
        <f>B71*B70</f>
        <v>73312.229040054008</v>
      </c>
      <c r="C72" s="489">
        <f>C71*C70</f>
        <v>73312.229040054008</v>
      </c>
      <c r="D72" s="90"/>
    </row>
    <row r="73" spans="1:8" ht="14.4" thickBot="1" x14ac:dyDescent="0.3">
      <c r="C73" s="78"/>
      <c r="D73" s="90"/>
    </row>
    <row r="74" spans="1:8" x14ac:dyDescent="0.25">
      <c r="A74" s="490" t="s">
        <v>314</v>
      </c>
      <c r="B74" s="479"/>
      <c r="C74" s="480"/>
      <c r="D74" s="90"/>
    </row>
    <row r="75" spans="1:8" x14ac:dyDescent="0.25">
      <c r="A75" s="398" t="s">
        <v>516</v>
      </c>
      <c r="B75" s="491">
        <f>'4. Inventar'!B34</f>
        <v>250258.82</v>
      </c>
      <c r="C75" s="492">
        <f>'4. Inventar'!B34</f>
        <v>250258.82</v>
      </c>
    </row>
    <row r="76" spans="1:8" x14ac:dyDescent="0.25">
      <c r="A76" s="398" t="s">
        <v>517</v>
      </c>
      <c r="B76" s="534">
        <f>-'6. Fremdkapital'!E5</f>
        <v>-100000</v>
      </c>
      <c r="C76" s="535">
        <f>-'6. Fremdkapital'!E5</f>
        <v>-100000</v>
      </c>
    </row>
    <row r="77" spans="1:8" x14ac:dyDescent="0.25">
      <c r="A77" s="398" t="s">
        <v>518</v>
      </c>
      <c r="B77" s="493">
        <f>SUM(B75:B76)</f>
        <v>150258.82</v>
      </c>
      <c r="C77" s="494">
        <f>SUM(C75:C76)</f>
        <v>150258.82</v>
      </c>
    </row>
    <row r="78" spans="1:8" x14ac:dyDescent="0.25">
      <c r="A78" s="398" t="s">
        <v>307</v>
      </c>
      <c r="B78" s="506">
        <v>3.5000000000000003E-2</v>
      </c>
      <c r="C78" s="507">
        <v>3.5000000000000003E-2</v>
      </c>
    </row>
    <row r="79" spans="1:8" ht="14.4" thickBot="1" x14ac:dyDescent="0.3">
      <c r="A79" s="487" t="s">
        <v>8</v>
      </c>
      <c r="B79" s="488">
        <f>B77*B78</f>
        <v>5259.0587000000005</v>
      </c>
      <c r="C79" s="489">
        <f>C77*C78</f>
        <v>5259.0587000000005</v>
      </c>
    </row>
    <row r="80" spans="1:8" x14ac:dyDescent="0.25">
      <c r="A80" s="91" t="s">
        <v>492</v>
      </c>
      <c r="C80" s="78"/>
    </row>
    <row r="81" spans="1:7" x14ac:dyDescent="0.25">
      <c r="A81" s="91" t="s">
        <v>493</v>
      </c>
      <c r="C81" s="78"/>
    </row>
    <row r="82" spans="1:7" x14ac:dyDescent="0.25">
      <c r="A82" s="91" t="s">
        <v>494</v>
      </c>
      <c r="C82" s="78"/>
    </row>
    <row r="83" spans="1:7" x14ac:dyDescent="0.25">
      <c r="A83" s="91" t="s">
        <v>495</v>
      </c>
      <c r="C83" s="78"/>
    </row>
    <row r="84" spans="1:7" x14ac:dyDescent="0.25">
      <c r="A84" s="91" t="s">
        <v>496</v>
      </c>
      <c r="C84" s="78"/>
    </row>
    <row r="85" spans="1:7" x14ac:dyDescent="0.25">
      <c r="A85" s="91"/>
      <c r="C85" s="78"/>
    </row>
    <row r="86" spans="1:7" ht="17.399999999999999" x14ac:dyDescent="0.3">
      <c r="A86" s="536" t="s">
        <v>519</v>
      </c>
      <c r="C86" s="78"/>
    </row>
    <row r="87" spans="1:7" x14ac:dyDescent="0.25">
      <c r="A87" s="91"/>
      <c r="C87" s="78"/>
    </row>
    <row r="88" spans="1:7" ht="14.4" thickBot="1" x14ac:dyDescent="0.3">
      <c r="A88" s="731" t="s">
        <v>163</v>
      </c>
      <c r="B88" s="732" t="s">
        <v>315</v>
      </c>
      <c r="C88" s="732"/>
    </row>
    <row r="89" spans="1:7" x14ac:dyDescent="0.25">
      <c r="A89" s="731"/>
      <c r="B89" s="733" t="s">
        <v>309</v>
      </c>
      <c r="C89" s="733"/>
    </row>
    <row r="90" spans="1:7" ht="14.4" thickBot="1" x14ac:dyDescent="0.3">
      <c r="C90" s="78"/>
      <c r="F90" s="145"/>
      <c r="G90" s="144"/>
    </row>
    <row r="91" spans="1:7" ht="21.6" thickBot="1" x14ac:dyDescent="0.3">
      <c r="A91" s="495" t="s">
        <v>311</v>
      </c>
      <c r="B91" s="496">
        <f>IF(B48/(B72+B79)*100&gt;0,B48/(B72+B79)*100,"Unplausibel")</f>
        <v>119.10967684328267</v>
      </c>
      <c r="C91" s="496">
        <f>IF(C48/(C72+C79)*100&gt;0,C48/(C72+C79)*100,"Unplausibel")</f>
        <v>94.239153219169154</v>
      </c>
      <c r="F91" s="145"/>
    </row>
    <row r="92" spans="1:7" x14ac:dyDescent="0.25">
      <c r="B92" s="78" t="s">
        <v>162</v>
      </c>
      <c r="C92" s="78" t="s">
        <v>159</v>
      </c>
      <c r="E92" s="400"/>
    </row>
    <row r="93" spans="1:7" x14ac:dyDescent="0.25">
      <c r="C93" s="78" t="s">
        <v>160</v>
      </c>
    </row>
    <row r="94" spans="1:7" x14ac:dyDescent="0.25">
      <c r="C94" s="78" t="s">
        <v>161</v>
      </c>
    </row>
    <row r="95" spans="1:7" x14ac:dyDescent="0.25">
      <c r="A95" s="91" t="s">
        <v>497</v>
      </c>
      <c r="B95" s="145"/>
      <c r="C95" s="497"/>
    </row>
    <row r="96" spans="1:7" x14ac:dyDescent="0.25">
      <c r="A96" s="91" t="s">
        <v>308</v>
      </c>
      <c r="B96" s="145"/>
      <c r="C96" s="497"/>
    </row>
    <row r="97" spans="1:1" x14ac:dyDescent="0.25">
      <c r="A97" s="91" t="s">
        <v>498</v>
      </c>
    </row>
    <row r="98" spans="1:1" x14ac:dyDescent="0.25">
      <c r="A98" s="91" t="s">
        <v>499</v>
      </c>
    </row>
    <row r="110" spans="1:1" x14ac:dyDescent="0.25">
      <c r="A110" s="113"/>
    </row>
  </sheetData>
  <sheetProtection algorithmName="SHA-512" hashValue="0J538fSsUeCRAOzNMbQLQW7GokM3AdXq3lpEgsAWGD34BjqtGa/rOogEk+7wiGbdAi4MmX7wxvjz2FE+291j2A==" saltValue="dQFW6bQ4yUf79XJK+AVxKQ==" spinCount="100000" sheet="1" objects="1" scenarios="1"/>
  <mergeCells count="3">
    <mergeCell ref="A88:A89"/>
    <mergeCell ref="B88:C88"/>
    <mergeCell ref="B89:C89"/>
  </mergeCells>
  <conditionalFormatting sqref="B91:C91">
    <cfRule type="containsText" dxfId="3" priority="9" operator="containsText" text="Unplausibel">
      <formula>NOT(ISERROR(SEARCH("Unplausibel",B91)))</formula>
    </cfRule>
    <cfRule type="cellIs" dxfId="2" priority="10" operator="between">
      <formula>0</formula>
      <formula>79.9</formula>
    </cfRule>
    <cfRule type="cellIs" dxfId="1" priority="11" operator="between">
      <formula>80</formula>
      <formula>100</formula>
    </cfRule>
    <cfRule type="cellIs" dxfId="0" priority="13" operator="greaterThan">
      <formula>100</formula>
    </cfRule>
  </conditionalFormatting>
  <pageMargins left="0.7" right="0.7" top="0.75" bottom="0.75" header="0.3" footer="0.3"/>
  <pageSetup paperSize="9"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zoomScale="80" zoomScaleNormal="80" workbookViewId="0">
      <selection activeCell="Q6" sqref="Q6"/>
    </sheetView>
  </sheetViews>
  <sheetFormatPr baseColWidth="10" defaultRowHeight="13.8" x14ac:dyDescent="0.25"/>
  <cols>
    <col min="1" max="7" width="11.19921875" style="78"/>
    <col min="8" max="8" width="24.3984375" style="78" customWidth="1"/>
    <col min="9" max="16384" width="11.19921875" style="78"/>
  </cols>
  <sheetData>
    <row r="1" spans="1:13" ht="21" x14ac:dyDescent="0.4">
      <c r="A1" s="388" t="s">
        <v>339</v>
      </c>
      <c r="H1" s="388" t="s">
        <v>367</v>
      </c>
    </row>
    <row r="3" spans="1:13" x14ac:dyDescent="0.25">
      <c r="A3" s="113" t="s">
        <v>330</v>
      </c>
      <c r="H3" s="78" t="s">
        <v>368</v>
      </c>
      <c r="I3" s="78" t="s">
        <v>369</v>
      </c>
    </row>
    <row r="4" spans="1:13" x14ac:dyDescent="0.25">
      <c r="A4" s="78" t="s">
        <v>331</v>
      </c>
      <c r="H4" s="78" t="s">
        <v>370</v>
      </c>
      <c r="I4" s="78" t="s">
        <v>372</v>
      </c>
    </row>
    <row r="5" spans="1:13" x14ac:dyDescent="0.25">
      <c r="A5" s="78" t="s">
        <v>190</v>
      </c>
      <c r="I5" s="78" t="s">
        <v>373</v>
      </c>
    </row>
    <row r="6" spans="1:13" x14ac:dyDescent="0.25">
      <c r="A6" s="391" t="s">
        <v>332</v>
      </c>
      <c r="I6" s="78" t="s">
        <v>374</v>
      </c>
    </row>
    <row r="7" spans="1:13" x14ac:dyDescent="0.25">
      <c r="A7" s="78" t="s">
        <v>340</v>
      </c>
      <c r="H7" s="78" t="s">
        <v>371</v>
      </c>
      <c r="I7" s="78" t="s">
        <v>382</v>
      </c>
    </row>
    <row r="8" spans="1:13" x14ac:dyDescent="0.25">
      <c r="A8" s="78" t="s">
        <v>341</v>
      </c>
      <c r="I8" s="78" t="s">
        <v>383</v>
      </c>
    </row>
    <row r="9" spans="1:13" x14ac:dyDescent="0.25">
      <c r="A9" s="78" t="s">
        <v>346</v>
      </c>
      <c r="H9" s="78" t="s">
        <v>375</v>
      </c>
      <c r="I9" s="394" t="s">
        <v>377</v>
      </c>
    </row>
    <row r="10" spans="1:13" x14ac:dyDescent="0.25">
      <c r="A10" s="78" t="s">
        <v>342</v>
      </c>
      <c r="H10" s="78" t="s">
        <v>376</v>
      </c>
      <c r="I10" s="78" t="s">
        <v>378</v>
      </c>
    </row>
    <row r="11" spans="1:13" x14ac:dyDescent="0.25">
      <c r="A11" s="78" t="s">
        <v>343</v>
      </c>
    </row>
    <row r="12" spans="1:13" x14ac:dyDescent="0.25">
      <c r="A12" s="78" t="s">
        <v>338</v>
      </c>
      <c r="H12" s="78" t="s">
        <v>379</v>
      </c>
    </row>
    <row r="13" spans="1:13" x14ac:dyDescent="0.25">
      <c r="A13" s="78" t="s">
        <v>337</v>
      </c>
      <c r="H13" s="78" t="s">
        <v>380</v>
      </c>
      <c r="M13" s="400"/>
    </row>
    <row r="14" spans="1:13" x14ac:dyDescent="0.25">
      <c r="H14" s="78" t="s">
        <v>381</v>
      </c>
    </row>
    <row r="15" spans="1:13" x14ac:dyDescent="0.25">
      <c r="A15" s="391" t="s">
        <v>333</v>
      </c>
    </row>
    <row r="16" spans="1:13" x14ac:dyDescent="0.25">
      <c r="A16" s="78" t="s">
        <v>344</v>
      </c>
      <c r="H16" s="78" t="s">
        <v>408</v>
      </c>
    </row>
    <row r="17" spans="1:9" x14ac:dyDescent="0.25">
      <c r="A17" s="78" t="s">
        <v>345</v>
      </c>
      <c r="H17" s="78" t="s">
        <v>403</v>
      </c>
    </row>
    <row r="18" spans="1:9" x14ac:dyDescent="0.25">
      <c r="A18" s="78" t="s">
        <v>347</v>
      </c>
      <c r="H18" s="78" t="s">
        <v>404</v>
      </c>
    </row>
    <row r="19" spans="1:9" x14ac:dyDescent="0.25">
      <c r="A19" s="78" t="s">
        <v>348</v>
      </c>
      <c r="H19" s="78" t="s">
        <v>405</v>
      </c>
    </row>
    <row r="20" spans="1:9" x14ac:dyDescent="0.25">
      <c r="A20" s="78" t="s">
        <v>350</v>
      </c>
    </row>
    <row r="21" spans="1:9" x14ac:dyDescent="0.25">
      <c r="A21" s="78" t="s">
        <v>349</v>
      </c>
    </row>
    <row r="22" spans="1:9" x14ac:dyDescent="0.25">
      <c r="A22" s="113" t="s">
        <v>351</v>
      </c>
    </row>
    <row r="23" spans="1:9" x14ac:dyDescent="0.25">
      <c r="A23" s="113" t="s">
        <v>363</v>
      </c>
    </row>
    <row r="25" spans="1:9" x14ac:dyDescent="0.25">
      <c r="A25" s="78" t="s">
        <v>334</v>
      </c>
    </row>
    <row r="26" spans="1:9" ht="21" x14ac:dyDescent="0.4">
      <c r="H26" s="388" t="s">
        <v>384</v>
      </c>
    </row>
    <row r="27" spans="1:9" x14ac:dyDescent="0.25">
      <c r="A27" s="113" t="s">
        <v>191</v>
      </c>
    </row>
    <row r="28" spans="1:9" x14ac:dyDescent="0.25">
      <c r="A28" s="78" t="s">
        <v>352</v>
      </c>
      <c r="H28" s="78" t="s">
        <v>392</v>
      </c>
      <c r="I28" s="78" t="s">
        <v>393</v>
      </c>
    </row>
    <row r="29" spans="1:9" x14ac:dyDescent="0.25">
      <c r="A29" s="78" t="s">
        <v>417</v>
      </c>
      <c r="I29" s="78" t="s">
        <v>394</v>
      </c>
    </row>
    <row r="30" spans="1:9" x14ac:dyDescent="0.25">
      <c r="A30" s="78" t="s">
        <v>353</v>
      </c>
    </row>
    <row r="31" spans="1:9" x14ac:dyDescent="0.25">
      <c r="A31" s="78" t="s">
        <v>354</v>
      </c>
      <c r="H31" s="78" t="s">
        <v>395</v>
      </c>
      <c r="I31" s="392">
        <v>5.5E-2</v>
      </c>
    </row>
    <row r="32" spans="1:9" x14ac:dyDescent="0.25">
      <c r="A32" s="78" t="s">
        <v>355</v>
      </c>
    </row>
    <row r="33" spans="1:10" x14ac:dyDescent="0.25">
      <c r="A33" s="78" t="s">
        <v>356</v>
      </c>
      <c r="H33" s="78" t="s">
        <v>397</v>
      </c>
      <c r="I33" s="575">
        <v>16956</v>
      </c>
      <c r="J33" s="78" t="s">
        <v>396</v>
      </c>
    </row>
    <row r="34" spans="1:10" x14ac:dyDescent="0.25">
      <c r="A34" s="78" t="s">
        <v>357</v>
      </c>
    </row>
    <row r="35" spans="1:10" x14ac:dyDescent="0.25">
      <c r="A35" s="78" t="s">
        <v>358</v>
      </c>
      <c r="H35" s="78" t="s">
        <v>398</v>
      </c>
    </row>
    <row r="36" spans="1:10" x14ac:dyDescent="0.25">
      <c r="A36" s="78" t="s">
        <v>359</v>
      </c>
      <c r="H36" s="78" t="s">
        <v>399</v>
      </c>
    </row>
    <row r="37" spans="1:10" x14ac:dyDescent="0.25">
      <c r="H37" s="78" t="s">
        <v>400</v>
      </c>
    </row>
    <row r="38" spans="1:10" x14ac:dyDescent="0.25">
      <c r="A38" s="113" t="s">
        <v>335</v>
      </c>
      <c r="H38" s="78" t="s">
        <v>401</v>
      </c>
    </row>
    <row r="39" spans="1:10" x14ac:dyDescent="0.25">
      <c r="A39" s="78" t="s">
        <v>360</v>
      </c>
    </row>
    <row r="40" spans="1:10" x14ac:dyDescent="0.25">
      <c r="A40" s="78" t="s">
        <v>416</v>
      </c>
    </row>
    <row r="41" spans="1:10" x14ac:dyDescent="0.25">
      <c r="A41" s="78" t="s">
        <v>361</v>
      </c>
    </row>
    <row r="42" spans="1:10" x14ac:dyDescent="0.25">
      <c r="A42" s="78" t="s">
        <v>362</v>
      </c>
    </row>
    <row r="43" spans="1:10" x14ac:dyDescent="0.25">
      <c r="A43" s="113" t="s">
        <v>336</v>
      </c>
    </row>
  </sheetData>
  <sheetProtection algorithmName="SHA-512" hashValue="PF1/uAE+TrjxyO5KbwRoBVM/twLEgO8QQKunbBvP2HVYFr/jExkC8bOG2DuBtfzZ5/55EZVZa7cdvB+Vym889g==" saltValue="bkfjsFhJ4C5hMrBFA0p2+w==" spinCount="100000" sheet="1" objects="1" scenarios="1"/>
  <pageMargins left="0.7" right="0.7" top="0.78740157499999996" bottom="0.78740157499999996"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vt:i4>
      </vt:variant>
    </vt:vector>
  </HeadingPairs>
  <TitlesOfParts>
    <vt:vector size="10" baseType="lpstr">
      <vt:lpstr>1. Bedienungsanleitung</vt:lpstr>
      <vt:lpstr>2. Produkte Verschluss</vt:lpstr>
      <vt:lpstr>3. Verkostungen</vt:lpstr>
      <vt:lpstr>4. Inventar</vt:lpstr>
      <vt:lpstr>5. sonst. Gemeink.</vt:lpstr>
      <vt:lpstr>6. Fremdkapital</vt:lpstr>
      <vt:lpstr>7. Gewerbe- Körperschaftsteuer </vt:lpstr>
      <vt:lpstr>8. Gewinn-Rentabilität</vt:lpstr>
      <vt:lpstr>Anmerkungen zu den Steuern</vt:lpstr>
      <vt:lpstr>'1. Bedienungsanleitung'!Druckbereich</vt:lpstr>
    </vt:vector>
  </TitlesOfParts>
  <Company>LGL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Michelfelder, Uwe (LVWO-WE)</dc:creator>
  <cp:lastModifiedBy>Friz, Jürgen (LVWO)</cp:lastModifiedBy>
  <cp:lastPrinted>2023-10-26T08:13:15Z</cp:lastPrinted>
  <dcterms:created xsi:type="dcterms:W3CDTF">2019-06-18T07:28:17Z</dcterms:created>
  <dcterms:modified xsi:type="dcterms:W3CDTF">2024-01-15T09:52:56Z</dcterms:modified>
</cp:coreProperties>
</file>