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3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4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drawings/drawing6.xml" ContentType="application/vnd.openxmlformats-officedocument.drawing+xml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drawings/drawing7.xml" ContentType="application/vnd.openxmlformats-officedocument.drawing+xml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drawings/drawing8.xml" ContentType="application/vnd.openxmlformats-officedocument.drawing+xml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15" yWindow="45" windowWidth="14400" windowHeight="10980" tabRatio="836"/>
  </bookViews>
  <sheets>
    <sheet name="Anleitung" sheetId="13" r:id="rId1"/>
    <sheet name="Investitionskosten Anlage" sheetId="10" r:id="rId2"/>
    <sheet name="Einzelkosten Vollertrag" sheetId="11" r:id="rId3"/>
    <sheet name="Einzelkosten Junganlage" sheetId="12" r:id="rId4"/>
    <sheet name="Ertragsgrenzen" sheetId="4" r:id="rId5"/>
    <sheet name="Deckungsbeitrag Arbeitsgänge" sheetId="1" r:id="rId6"/>
    <sheet name="Deckungsbeitrag Zeitverteilung" sheetId="6" r:id="rId7"/>
    <sheet name="Deckungsbeitrag Pflanzenschutz" sheetId="7" r:id="rId8"/>
    <sheet name="Deckungsbeitrag" sheetId="8" r:id="rId9"/>
  </sheets>
  <definedNames>
    <definedName name="_xlnm.Print_Area" localSheetId="8">Deckungsbeitrag!$A$57:$F$93,Deckungsbeitrag!$A$108:$F$156,Deckungsbeitrag!$A$1:$F$42</definedName>
    <definedName name="_xlnm.Print_Area" localSheetId="5">'Deckungsbeitrag Arbeitsgänge'!$A$1:$N$39,'Deckungsbeitrag Arbeitsgänge'!$A$42:$N$77,'Deckungsbeitrag Arbeitsgänge'!$A$81:$N$117</definedName>
    <definedName name="_xlnm.Print_Area" localSheetId="7">'Deckungsbeitrag Pflanzenschutz'!$A$1:$I$50,'Deckungsbeitrag Pflanzenschutz'!$A$52:$I$101,'Deckungsbeitrag Pflanzenschutz'!$A$106:$I$157</definedName>
    <definedName name="_xlnm.Print_Area" localSheetId="6">'Deckungsbeitrag Zeitverteilung'!$A$1:$O$39,'Deckungsbeitrag Zeitverteilung'!$A$41:$O$76,'Deckungsbeitrag Zeitverteilung'!$A$78:$O$115</definedName>
    <definedName name="_xlnm.Print_Area" localSheetId="3">'Einzelkosten Junganlage'!$A$1:$F$48</definedName>
    <definedName name="_xlnm.Print_Area" localSheetId="2">'Einzelkosten Vollertrag'!$A$1:$F$48</definedName>
    <definedName name="_xlnm.Print_Area" localSheetId="4">Ertragsgrenzen!$A$1:$M$22</definedName>
    <definedName name="_xlnm.Print_Area" localSheetId="1">'Investitionskosten Anlage'!$A$1:$F$51</definedName>
  </definedNames>
  <calcPr calcId="145621"/>
</workbook>
</file>

<file path=xl/calcChain.xml><?xml version="1.0" encoding="utf-8"?>
<calcChain xmlns="http://schemas.openxmlformats.org/spreadsheetml/2006/main">
  <c r="C18" i="12" l="1"/>
  <c r="N97" i="1" l="1"/>
  <c r="N113" i="1"/>
  <c r="N111" i="1"/>
  <c r="D38" i="11"/>
  <c r="N57" i="1"/>
  <c r="N56" i="1"/>
  <c r="N16" i="1"/>
  <c r="N15" i="1"/>
  <c r="D38" i="12"/>
  <c r="M7" i="4"/>
  <c r="L7" i="4"/>
  <c r="K7" i="4"/>
  <c r="J7" i="4"/>
  <c r="I7" i="4"/>
  <c r="H7" i="4"/>
  <c r="G7" i="4"/>
  <c r="F7" i="4"/>
  <c r="E7" i="4"/>
  <c r="D7" i="4"/>
  <c r="C7" i="4"/>
  <c r="B7" i="4"/>
  <c r="M15" i="4"/>
  <c r="L15" i="4"/>
  <c r="K15" i="4"/>
  <c r="J15" i="4"/>
  <c r="I15" i="4"/>
  <c r="H15" i="4"/>
  <c r="G15" i="4"/>
  <c r="F15" i="4"/>
  <c r="E15" i="4"/>
  <c r="D15" i="4"/>
  <c r="C15" i="4"/>
  <c r="B15" i="4"/>
  <c r="M14" i="4"/>
  <c r="L14" i="4"/>
  <c r="K14" i="4"/>
  <c r="J14" i="4"/>
  <c r="I14" i="4"/>
  <c r="H14" i="4"/>
  <c r="G14" i="4"/>
  <c r="F14" i="4"/>
  <c r="E14" i="4"/>
  <c r="D14" i="4"/>
  <c r="C14" i="4"/>
  <c r="B14" i="4"/>
  <c r="M13" i="4"/>
  <c r="L13" i="4"/>
  <c r="K13" i="4"/>
  <c r="J13" i="4"/>
  <c r="I13" i="4"/>
  <c r="H13" i="4"/>
  <c r="G13" i="4"/>
  <c r="F13" i="4"/>
  <c r="E13" i="4"/>
  <c r="D13" i="4"/>
  <c r="C13" i="4"/>
  <c r="B13" i="4"/>
  <c r="N13" i="1"/>
  <c r="N14" i="1"/>
  <c r="N55" i="1"/>
  <c r="N54" i="1"/>
  <c r="N110" i="1"/>
  <c r="N109" i="1"/>
  <c r="N12" i="1" l="1"/>
  <c r="N53" i="1"/>
  <c r="C108" i="1" l="1"/>
  <c r="B108" i="1"/>
  <c r="C131" i="8" l="1"/>
  <c r="E85" i="8"/>
  <c r="C85" i="8"/>
  <c r="E80" i="8"/>
  <c r="C29" i="8"/>
  <c r="C28" i="8"/>
  <c r="E28" i="8"/>
  <c r="E24" i="8"/>
  <c r="F29" i="8"/>
  <c r="E30" i="8"/>
  <c r="E29" i="8"/>
  <c r="B11" i="1" l="1"/>
  <c r="B52" i="1"/>
  <c r="B117" i="1" l="1"/>
  <c r="D108" i="1"/>
  <c r="B94" i="1"/>
  <c r="D77" i="1"/>
  <c r="D155" i="8" l="1"/>
  <c r="F137" i="8"/>
  <c r="F136" i="8"/>
  <c r="F135" i="8"/>
  <c r="F134" i="8"/>
  <c r="F130" i="8"/>
  <c r="F126" i="8"/>
  <c r="E129" i="8"/>
  <c r="C132" i="8"/>
  <c r="F132" i="8" s="1"/>
  <c r="I154" i="7"/>
  <c r="F154" i="7"/>
  <c r="F153" i="7"/>
  <c r="I153" i="7" s="1"/>
  <c r="F152" i="7"/>
  <c r="I152" i="7" s="1"/>
  <c r="F151" i="7"/>
  <c r="I151" i="7" s="1"/>
  <c r="F150" i="7"/>
  <c r="I150" i="7" s="1"/>
  <c r="F149" i="7"/>
  <c r="I149" i="7" s="1"/>
  <c r="F148" i="7"/>
  <c r="I148" i="7" s="1"/>
  <c r="F147" i="7"/>
  <c r="I147" i="7" s="1"/>
  <c r="F146" i="7"/>
  <c r="I146" i="7" s="1"/>
  <c r="F145" i="7"/>
  <c r="I145" i="7" s="1"/>
  <c r="F144" i="7"/>
  <c r="I144" i="7" s="1"/>
  <c r="F143" i="7"/>
  <c r="I143" i="7" s="1"/>
  <c r="F142" i="7"/>
  <c r="I142" i="7" s="1"/>
  <c r="F141" i="7"/>
  <c r="I141" i="7" s="1"/>
  <c r="F140" i="7"/>
  <c r="I140" i="7" s="1"/>
  <c r="E78" i="8"/>
  <c r="F84" i="8"/>
  <c r="C81" i="8"/>
  <c r="C82" i="8" s="1"/>
  <c r="F82" i="8" s="1"/>
  <c r="F79" i="8"/>
  <c r="F75" i="8"/>
  <c r="F36" i="8"/>
  <c r="F35" i="8"/>
  <c r="F34" i="8"/>
  <c r="F33" i="8"/>
  <c r="F32" i="8"/>
  <c r="F31" i="8"/>
  <c r="F19" i="8"/>
  <c r="C25" i="8"/>
  <c r="C26" i="8" s="1"/>
  <c r="F26" i="8" s="1"/>
  <c r="E22" i="8"/>
  <c r="F25" i="8" l="1"/>
  <c r="F131" i="8"/>
  <c r="F81" i="8"/>
  <c r="B10" i="1"/>
  <c r="B51" i="1"/>
  <c r="F11" i="12"/>
  <c r="F11" i="11"/>
  <c r="F9" i="12"/>
  <c r="F7" i="12"/>
  <c r="F6" i="12"/>
  <c r="F5" i="12"/>
  <c r="F4" i="12"/>
  <c r="D18" i="12"/>
  <c r="D18" i="11"/>
  <c r="F9" i="10"/>
  <c r="F8" i="12" s="1"/>
  <c r="C40" i="12"/>
  <c r="C41" i="12"/>
  <c r="D41" i="12" s="1"/>
  <c r="C40" i="11"/>
  <c r="C30" i="8" s="1"/>
  <c r="F30" i="8" s="1"/>
  <c r="C41" i="11"/>
  <c r="D41" i="11" s="1"/>
  <c r="C42" i="12"/>
  <c r="C42" i="11"/>
  <c r="C51" i="1" l="1"/>
  <c r="B77" i="1"/>
  <c r="C10" i="1"/>
  <c r="C39" i="1" s="1"/>
  <c r="C22" i="8" s="1"/>
  <c r="F22" i="8" s="1"/>
  <c r="B39" i="1"/>
  <c r="D27" i="11"/>
  <c r="D29" i="11"/>
  <c r="D39" i="11"/>
  <c r="D39" i="12"/>
  <c r="D29" i="12"/>
  <c r="D26" i="12"/>
  <c r="D25" i="12"/>
  <c r="D28" i="12"/>
  <c r="D27" i="12"/>
  <c r="D32" i="12"/>
  <c r="D31" i="12"/>
  <c r="D30" i="12"/>
  <c r="D32" i="11"/>
  <c r="D31" i="11"/>
  <c r="D30" i="11"/>
  <c r="D28" i="11"/>
  <c r="D26" i="11"/>
  <c r="D25" i="11"/>
  <c r="C47" i="10"/>
  <c r="C40" i="10"/>
  <c r="C39" i="10"/>
  <c r="C38" i="10"/>
  <c r="C37" i="10"/>
  <c r="C36" i="10"/>
  <c r="C35" i="10"/>
  <c r="F25" i="12" l="1"/>
  <c r="E25" i="12"/>
  <c r="E26" i="12"/>
  <c r="F26" i="12" s="1"/>
  <c r="F25" i="11"/>
  <c r="E25" i="11"/>
  <c r="E27" i="11"/>
  <c r="F27" i="11" s="1"/>
  <c r="N75" i="1" l="1"/>
  <c r="E23" i="11"/>
  <c r="B54" i="12" l="1"/>
  <c r="B54" i="11"/>
  <c r="E44" i="12"/>
  <c r="F44" i="12" s="1"/>
  <c r="F43" i="12"/>
  <c r="E43" i="12"/>
  <c r="E42" i="12"/>
  <c r="F42" i="12" s="1"/>
  <c r="E41" i="12"/>
  <c r="F41" i="12" s="1"/>
  <c r="E40" i="12"/>
  <c r="F40" i="12" s="1"/>
  <c r="F39" i="12"/>
  <c r="E39" i="12"/>
  <c r="E38" i="12"/>
  <c r="F38" i="12" s="1"/>
  <c r="F32" i="12"/>
  <c r="E32" i="12"/>
  <c r="F31" i="12"/>
  <c r="E31" i="12"/>
  <c r="F30" i="12"/>
  <c r="E30" i="12"/>
  <c r="F29" i="12"/>
  <c r="E29" i="12"/>
  <c r="E28" i="12"/>
  <c r="F28" i="12" s="1"/>
  <c r="F27" i="12"/>
  <c r="E27" i="12"/>
  <c r="F24" i="12"/>
  <c r="E24" i="12"/>
  <c r="E23" i="12"/>
  <c r="F23" i="12" s="1"/>
  <c r="F22" i="12"/>
  <c r="E22" i="12"/>
  <c r="F21" i="12"/>
  <c r="E21" i="12"/>
  <c r="E20" i="12"/>
  <c r="F20" i="12" s="1"/>
  <c r="E19" i="12"/>
  <c r="F19" i="12" s="1"/>
  <c r="B6" i="12"/>
  <c r="B5" i="12"/>
  <c r="B4" i="12"/>
  <c r="E19" i="11"/>
  <c r="F19" i="11" s="1"/>
  <c r="E20" i="11"/>
  <c r="F20" i="11" s="1"/>
  <c r="E21" i="11"/>
  <c r="E22" i="11"/>
  <c r="E24" i="11"/>
  <c r="E26" i="11"/>
  <c r="E28" i="11"/>
  <c r="E29" i="11"/>
  <c r="E30" i="11"/>
  <c r="E31" i="11"/>
  <c r="E32" i="11"/>
  <c r="E39" i="11"/>
  <c r="F39" i="11" s="1"/>
  <c r="E40" i="11"/>
  <c r="F40" i="11" s="1"/>
  <c r="E41" i="11"/>
  <c r="F41" i="11" s="1"/>
  <c r="E42" i="11"/>
  <c r="F42" i="11" s="1"/>
  <c r="E43" i="11"/>
  <c r="E44" i="11"/>
  <c r="F44" i="11" s="1"/>
  <c r="E38" i="11"/>
  <c r="F38" i="11" s="1"/>
  <c r="F43" i="11"/>
  <c r="F21" i="11"/>
  <c r="F22" i="11"/>
  <c r="F23" i="11"/>
  <c r="F24" i="11"/>
  <c r="F26" i="11"/>
  <c r="F28" i="11"/>
  <c r="F29" i="11"/>
  <c r="F30" i="11"/>
  <c r="F31" i="11"/>
  <c r="F32" i="11"/>
  <c r="E45" i="12" l="1"/>
  <c r="F45" i="12" s="1"/>
  <c r="E53" i="11" s="1"/>
  <c r="E45" i="11"/>
  <c r="F45" i="11" s="1"/>
  <c r="E52" i="11" s="1"/>
  <c r="E54" i="11" s="1"/>
  <c r="K10" i="4" s="1"/>
  <c r="E25" i="10"/>
  <c r="F9" i="11"/>
  <c r="F6" i="11"/>
  <c r="F5" i="11"/>
  <c r="F4" i="11"/>
  <c r="B6" i="11"/>
  <c r="B5" i="11"/>
  <c r="B4" i="11"/>
  <c r="F43" i="10"/>
  <c r="F17" i="10"/>
  <c r="F18" i="10"/>
  <c r="F19" i="10"/>
  <c r="F20" i="10"/>
  <c r="F21" i="10"/>
  <c r="F22" i="10"/>
  <c r="F23" i="10"/>
  <c r="F24" i="10"/>
  <c r="F25" i="10"/>
  <c r="F26" i="10"/>
  <c r="F27" i="10"/>
  <c r="F30" i="10"/>
  <c r="D17" i="10"/>
  <c r="E10" i="4" l="1"/>
  <c r="J10" i="4"/>
  <c r="H10" i="4"/>
  <c r="D10" i="4"/>
  <c r="L10" i="4"/>
  <c r="M10" i="4"/>
  <c r="G10" i="4"/>
  <c r="F10" i="4"/>
  <c r="B10" i="4"/>
  <c r="C10" i="4"/>
  <c r="I10" i="4"/>
  <c r="E52" i="12"/>
  <c r="E54" i="12" s="1"/>
  <c r="E53" i="12"/>
  <c r="E24" i="10"/>
  <c r="D16" i="10"/>
  <c r="F16" i="10" s="1"/>
  <c r="D18" i="10"/>
  <c r="D19" i="10"/>
  <c r="D20" i="10"/>
  <c r="D21" i="10"/>
  <c r="D22" i="10"/>
  <c r="D23" i="10"/>
  <c r="D24" i="10"/>
  <c r="D25" i="10"/>
  <c r="D26" i="10"/>
  <c r="D27" i="10"/>
  <c r="D28" i="10"/>
  <c r="D29" i="10"/>
  <c r="F29" i="10" s="1"/>
  <c r="D30" i="10"/>
  <c r="D31" i="10"/>
  <c r="F31" i="10" s="1"/>
  <c r="D15" i="10"/>
  <c r="E28" i="10"/>
  <c r="E31" i="10"/>
  <c r="E30" i="10"/>
  <c r="E29" i="10"/>
  <c r="E15" i="10"/>
  <c r="B48" i="10"/>
  <c r="D47" i="10"/>
  <c r="F47" i="10" s="1"/>
  <c r="D46" i="10"/>
  <c r="F46" i="10" s="1"/>
  <c r="E47" i="10"/>
  <c r="E46" i="10"/>
  <c r="E43" i="10"/>
  <c r="B41" i="10"/>
  <c r="B51" i="10" s="1"/>
  <c r="D36" i="10"/>
  <c r="F36" i="10" s="1"/>
  <c r="D37" i="10"/>
  <c r="F37" i="10" s="1"/>
  <c r="D38" i="10"/>
  <c r="F38" i="10" s="1"/>
  <c r="D39" i="10"/>
  <c r="F39" i="10" s="1"/>
  <c r="D40" i="10"/>
  <c r="F40" i="10" s="1"/>
  <c r="D35" i="10"/>
  <c r="F35" i="10" s="1"/>
  <c r="E40" i="10"/>
  <c r="E39" i="10"/>
  <c r="E38" i="10"/>
  <c r="E37" i="10"/>
  <c r="E36" i="10"/>
  <c r="E35" i="10"/>
  <c r="F80" i="8" l="1"/>
  <c r="F24" i="8"/>
  <c r="E33" i="11"/>
  <c r="F33" i="11" s="1"/>
  <c r="E33" i="12"/>
  <c r="F33" i="12" s="1"/>
  <c r="F28" i="10"/>
  <c r="D48" i="10"/>
  <c r="D41" i="10"/>
  <c r="F41" i="10"/>
  <c r="F48" i="10"/>
  <c r="F15" i="10"/>
  <c r="D32" i="10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65" i="7"/>
  <c r="A96" i="6"/>
  <c r="A97" i="6"/>
  <c r="A98" i="6"/>
  <c r="A99" i="6"/>
  <c r="A100" i="6"/>
  <c r="A101" i="6"/>
  <c r="A102" i="6"/>
  <c r="A103" i="6"/>
  <c r="A104" i="6"/>
  <c r="A105" i="6"/>
  <c r="A95" i="6"/>
  <c r="A94" i="6"/>
  <c r="A93" i="6"/>
  <c r="B96" i="6"/>
  <c r="B97" i="6"/>
  <c r="B98" i="6"/>
  <c r="B99" i="6"/>
  <c r="B100" i="6"/>
  <c r="B101" i="6"/>
  <c r="B102" i="6"/>
  <c r="B103" i="6"/>
  <c r="B104" i="6"/>
  <c r="B105" i="6"/>
  <c r="B95" i="6"/>
  <c r="B94" i="6"/>
  <c r="B93" i="6"/>
  <c r="B46" i="6"/>
  <c r="B47" i="6"/>
  <c r="O34" i="6"/>
  <c r="O35" i="6"/>
  <c r="O36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B34" i="6"/>
  <c r="B35" i="6"/>
  <c r="B36" i="6"/>
  <c r="B37" i="6"/>
  <c r="B38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12" i="6"/>
  <c r="B13" i="6"/>
  <c r="B14" i="6"/>
  <c r="F32" i="10" l="1"/>
  <c r="F51" i="10" s="1"/>
  <c r="F156" i="8" s="1"/>
  <c r="C51" i="10"/>
  <c r="N18" i="1"/>
  <c r="N17" i="1"/>
  <c r="E17" i="12" l="1"/>
  <c r="F17" i="12" s="1"/>
  <c r="E17" i="11"/>
  <c r="F17" i="11" s="1"/>
  <c r="N26" i="1" l="1"/>
  <c r="F23" i="8" l="1"/>
  <c r="N98" i="1"/>
  <c r="N96" i="1"/>
  <c r="N95" i="1"/>
  <c r="F85" i="8" l="1"/>
  <c r="F86" i="8"/>
  <c r="D39" i="1"/>
  <c r="A87" i="6" l="1"/>
  <c r="B87" i="6"/>
  <c r="A88" i="6"/>
  <c r="B88" i="6"/>
  <c r="A89" i="6"/>
  <c r="B89" i="6"/>
  <c r="A90" i="6"/>
  <c r="B90" i="6"/>
  <c r="A91" i="6"/>
  <c r="B91" i="6"/>
  <c r="A51" i="6"/>
  <c r="B51" i="6"/>
  <c r="A52" i="6"/>
  <c r="B52" i="6"/>
  <c r="A53" i="6"/>
  <c r="B53" i="6"/>
  <c r="A54" i="6"/>
  <c r="B54" i="6"/>
  <c r="A55" i="6"/>
  <c r="B55" i="6"/>
  <c r="A56" i="6"/>
  <c r="B56" i="6"/>
  <c r="A57" i="6"/>
  <c r="B57" i="6"/>
  <c r="A58" i="6"/>
  <c r="B58" i="6"/>
  <c r="A59" i="6"/>
  <c r="B59" i="6"/>
  <c r="A60" i="6"/>
  <c r="B60" i="6"/>
  <c r="A61" i="6"/>
  <c r="B61" i="6"/>
  <c r="A62" i="6"/>
  <c r="B62" i="6"/>
  <c r="A63" i="6"/>
  <c r="B63" i="6"/>
  <c r="A64" i="6"/>
  <c r="B64" i="6"/>
  <c r="A65" i="6"/>
  <c r="B65" i="6"/>
  <c r="A66" i="6"/>
  <c r="B66" i="6"/>
  <c r="A67" i="6"/>
  <c r="B67" i="6"/>
  <c r="A68" i="6"/>
  <c r="B68" i="6"/>
  <c r="A69" i="6"/>
  <c r="B69" i="6"/>
  <c r="A70" i="6"/>
  <c r="B70" i="6"/>
  <c r="A71" i="6"/>
  <c r="B71" i="6"/>
  <c r="A72" i="6"/>
  <c r="B72" i="6"/>
  <c r="A73" i="6"/>
  <c r="B73" i="6"/>
  <c r="A74" i="6"/>
  <c r="B74" i="6"/>
  <c r="A75" i="6"/>
  <c r="B75" i="6"/>
  <c r="A11" i="6"/>
  <c r="B11" i="6"/>
  <c r="A12" i="6"/>
  <c r="N58" i="1"/>
  <c r="B10" i="6"/>
  <c r="A10" i="6"/>
  <c r="N32" i="1"/>
  <c r="N31" i="1"/>
  <c r="N30" i="1"/>
  <c r="N29" i="1"/>
  <c r="N28" i="1"/>
  <c r="N27" i="1"/>
  <c r="N25" i="1"/>
  <c r="N24" i="1"/>
  <c r="N23" i="1"/>
  <c r="N22" i="1"/>
  <c r="N21" i="1"/>
  <c r="N20" i="1"/>
  <c r="N19" i="1"/>
  <c r="N11" i="1"/>
  <c r="N10" i="1"/>
  <c r="N103" i="1" l="1"/>
  <c r="F49" i="7" l="1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A108" i="6" l="1"/>
  <c r="B108" i="6"/>
  <c r="A109" i="6"/>
  <c r="B109" i="6"/>
  <c r="A110" i="6"/>
  <c r="B110" i="6"/>
  <c r="A111" i="6"/>
  <c r="B111" i="6"/>
  <c r="A112" i="6"/>
  <c r="B112" i="6"/>
  <c r="A113" i="6"/>
  <c r="B113" i="6"/>
  <c r="A114" i="6"/>
  <c r="B114" i="6"/>
  <c r="N91" i="1" l="1"/>
  <c r="N35" i="1" l="1"/>
  <c r="N34" i="1"/>
  <c r="N33" i="1"/>
  <c r="N99" i="1" l="1"/>
  <c r="I97" i="7" l="1"/>
  <c r="I95" i="7"/>
  <c r="F136" i="7"/>
  <c r="I136" i="7" s="1"/>
  <c r="F135" i="7"/>
  <c r="I135" i="7" s="1"/>
  <c r="F134" i="7"/>
  <c r="I134" i="7" s="1"/>
  <c r="F133" i="7"/>
  <c r="I133" i="7" s="1"/>
  <c r="F132" i="7"/>
  <c r="I132" i="7" s="1"/>
  <c r="F131" i="7"/>
  <c r="I131" i="7" s="1"/>
  <c r="F130" i="7"/>
  <c r="I130" i="7" s="1"/>
  <c r="F129" i="7"/>
  <c r="I129" i="7" s="1"/>
  <c r="F128" i="7"/>
  <c r="I128" i="7" s="1"/>
  <c r="F127" i="7"/>
  <c r="I127" i="7" s="1"/>
  <c r="F126" i="7"/>
  <c r="I126" i="7" s="1"/>
  <c r="F125" i="7"/>
  <c r="I125" i="7" s="1"/>
  <c r="F124" i="7"/>
  <c r="I124" i="7" s="1"/>
  <c r="F123" i="7"/>
  <c r="I123" i="7" s="1"/>
  <c r="F122" i="7"/>
  <c r="I122" i="7" s="1"/>
  <c r="F121" i="7"/>
  <c r="I121" i="7" s="1"/>
  <c r="F120" i="7"/>
  <c r="I120" i="7" s="1"/>
  <c r="F119" i="7"/>
  <c r="I119" i="7" s="1"/>
  <c r="I100" i="7"/>
  <c r="I99" i="7"/>
  <c r="I98" i="7"/>
  <c r="I96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48" i="7"/>
  <c r="I49" i="7"/>
  <c r="I47" i="7"/>
  <c r="F122" i="8" l="1"/>
  <c r="F121" i="8"/>
  <c r="F120" i="8"/>
  <c r="F71" i="8"/>
  <c r="F70" i="8"/>
  <c r="F69" i="8"/>
  <c r="F15" i="8"/>
  <c r="F14" i="8"/>
  <c r="F13" i="8"/>
  <c r="C148" i="8" l="1"/>
  <c r="D148" i="8"/>
  <c r="E148" i="8"/>
  <c r="I14" i="7"/>
  <c r="I44" i="7"/>
  <c r="I45" i="7"/>
  <c r="I46" i="7"/>
  <c r="N112" i="1"/>
  <c r="N60" i="1"/>
  <c r="N61" i="1"/>
  <c r="N62" i="1"/>
  <c r="N63" i="1"/>
  <c r="N64" i="1"/>
  <c r="N65" i="1"/>
  <c r="N66" i="1"/>
  <c r="N67" i="1"/>
  <c r="N68" i="1"/>
  <c r="N69" i="1"/>
  <c r="N70" i="1"/>
  <c r="N71" i="1"/>
  <c r="F148" i="8" l="1"/>
  <c r="F156" i="7"/>
  <c r="I156" i="7" s="1"/>
  <c r="F155" i="7"/>
  <c r="I155" i="7" s="1"/>
  <c r="F139" i="7"/>
  <c r="I139" i="7" s="1"/>
  <c r="F138" i="7"/>
  <c r="I138" i="7" s="1"/>
  <c r="F137" i="7"/>
  <c r="I137" i="7" s="1"/>
  <c r="I157" i="7" l="1"/>
  <c r="E127" i="8" s="1"/>
  <c r="F127" i="8" s="1"/>
  <c r="H124" i="6"/>
  <c r="B116" i="8" l="1"/>
  <c r="B65" i="8"/>
  <c r="B114" i="8"/>
  <c r="B113" i="8"/>
  <c r="B63" i="8"/>
  <c r="B62" i="8"/>
  <c r="B7" i="8"/>
  <c r="B6" i="8"/>
  <c r="F119" i="8"/>
  <c r="F123" i="8" s="1"/>
  <c r="F133" i="8" s="1"/>
  <c r="F87" i="8"/>
  <c r="F68" i="8"/>
  <c r="F72" i="8" l="1"/>
  <c r="F83" i="8" s="1"/>
  <c r="F28" i="8"/>
  <c r="F12" i="8"/>
  <c r="F16" i="8" l="1"/>
  <c r="F27" i="8" s="1"/>
  <c r="B9" i="8"/>
  <c r="D114" i="7" l="1"/>
  <c r="D112" i="7"/>
  <c r="D111" i="7"/>
  <c r="D60" i="7"/>
  <c r="D58" i="7"/>
  <c r="D57" i="7"/>
  <c r="I101" i="7"/>
  <c r="E76" i="8" s="1"/>
  <c r="F76" i="8" s="1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50" i="7" l="1"/>
  <c r="E20" i="8" s="1"/>
  <c r="F20" i="8" s="1"/>
  <c r="D7" i="7"/>
  <c r="D9" i="7"/>
  <c r="D6" i="7"/>
  <c r="N115" i="6" l="1"/>
  <c r="M115" i="6"/>
  <c r="L115" i="6"/>
  <c r="K115" i="6"/>
  <c r="J115" i="6"/>
  <c r="I115" i="6"/>
  <c r="H115" i="6"/>
  <c r="G115" i="6"/>
  <c r="F115" i="6"/>
  <c r="E115" i="6"/>
  <c r="D115" i="6"/>
  <c r="C115" i="6"/>
  <c r="O110" i="6"/>
  <c r="O111" i="6"/>
  <c r="O112" i="6"/>
  <c r="O113" i="6"/>
  <c r="O114" i="6"/>
  <c r="O109" i="6"/>
  <c r="O108" i="6"/>
  <c r="O107" i="6"/>
  <c r="B107" i="6"/>
  <c r="A107" i="6"/>
  <c r="A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A92" i="6"/>
  <c r="O91" i="6"/>
  <c r="O90" i="6"/>
  <c r="O89" i="6"/>
  <c r="O88" i="6"/>
  <c r="O87" i="6"/>
  <c r="O86" i="6"/>
  <c r="B86" i="6"/>
  <c r="A86" i="6"/>
  <c r="A85" i="6"/>
  <c r="N76" i="6"/>
  <c r="M76" i="6"/>
  <c r="L76" i="6"/>
  <c r="K76" i="6"/>
  <c r="J76" i="6"/>
  <c r="I76" i="6"/>
  <c r="H76" i="6"/>
  <c r="G76" i="6"/>
  <c r="F76" i="6"/>
  <c r="E76" i="6"/>
  <c r="D76" i="6"/>
  <c r="C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B50" i="6"/>
  <c r="A50" i="6"/>
  <c r="N39" i="6"/>
  <c r="N130" i="6" s="1"/>
  <c r="M39" i="6"/>
  <c r="M130" i="6" s="1"/>
  <c r="L39" i="6"/>
  <c r="K39" i="6"/>
  <c r="J39" i="6"/>
  <c r="I39" i="6"/>
  <c r="H39" i="6"/>
  <c r="G39" i="6"/>
  <c r="F39" i="6"/>
  <c r="E39" i="6"/>
  <c r="E130" i="6" s="1"/>
  <c r="D39" i="6"/>
  <c r="O38" i="6"/>
  <c r="O37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B83" i="6"/>
  <c r="K83" i="6"/>
  <c r="L46" i="6"/>
  <c r="B7" i="6"/>
  <c r="M6" i="6"/>
  <c r="B6" i="6"/>
  <c r="C39" i="6"/>
  <c r="I130" i="6" l="1"/>
  <c r="D130" i="6"/>
  <c r="G130" i="6"/>
  <c r="K130" i="6"/>
  <c r="B115" i="6"/>
  <c r="O115" i="6"/>
  <c r="F130" i="6"/>
  <c r="H130" i="6"/>
  <c r="J130" i="6"/>
  <c r="L130" i="6"/>
  <c r="O76" i="6"/>
  <c r="B76" i="6"/>
  <c r="B39" i="6"/>
  <c r="O39" i="6"/>
  <c r="C130" i="6"/>
  <c r="D117" i="1"/>
  <c r="C117" i="1"/>
  <c r="C129" i="8" s="1"/>
  <c r="F129" i="8" s="1"/>
  <c r="N116" i="1"/>
  <c r="N114" i="1"/>
  <c r="D94" i="1"/>
  <c r="C94" i="1"/>
  <c r="N76" i="1"/>
  <c r="N74" i="1"/>
  <c r="N73" i="1"/>
  <c r="N72" i="1"/>
  <c r="N59" i="1"/>
  <c r="N52" i="1"/>
  <c r="N51" i="1"/>
  <c r="C77" i="1"/>
  <c r="C78" i="8" s="1"/>
  <c r="F78" i="8" s="1"/>
  <c r="D154" i="8" l="1"/>
  <c r="O130" i="6"/>
  <c r="B130" i="6"/>
  <c r="E154" i="8"/>
  <c r="N77" i="1"/>
  <c r="E77" i="8" s="1"/>
  <c r="F77" i="8" s="1"/>
  <c r="F88" i="8" s="1"/>
  <c r="N115" i="1"/>
  <c r="N107" i="1"/>
  <c r="N106" i="1"/>
  <c r="N105" i="1"/>
  <c r="N104" i="1"/>
  <c r="N102" i="1"/>
  <c r="N101" i="1"/>
  <c r="N100" i="1"/>
  <c r="N93" i="1"/>
  <c r="N92" i="1"/>
  <c r="N90" i="1"/>
  <c r="N89" i="1"/>
  <c r="N88" i="1"/>
  <c r="N87" i="1"/>
  <c r="N108" i="1" l="1"/>
  <c r="N94" i="1"/>
  <c r="F93" i="8"/>
  <c r="D152" i="8" s="1"/>
  <c r="N117" i="1"/>
  <c r="E128" i="8" s="1"/>
  <c r="F128" i="8" s="1"/>
  <c r="F138" i="8" s="1"/>
  <c r="N38" i="1"/>
  <c r="N37" i="1"/>
  <c r="N36" i="1"/>
  <c r="N39" i="1" s="1"/>
  <c r="E21" i="8" s="1"/>
  <c r="F21" i="8" s="1"/>
  <c r="F37" i="8" s="1"/>
  <c r="F89" i="8" l="1"/>
  <c r="F90" i="8" s="1"/>
  <c r="F92" i="8" s="1"/>
  <c r="D151" i="8" s="1"/>
  <c r="C154" i="8" l="1"/>
  <c r="F154" i="8" s="1"/>
  <c r="F155" i="8" s="1"/>
  <c r="F139" i="8"/>
  <c r="F140" i="8" s="1"/>
  <c r="F142" i="8" s="1"/>
  <c r="E151" i="8" s="1"/>
  <c r="F143" i="8"/>
  <c r="E152" i="8" s="1"/>
  <c r="F42" i="8" l="1"/>
  <c r="C152" i="8" s="1"/>
  <c r="F152" i="8" s="1"/>
  <c r="F38" i="8" l="1"/>
  <c r="F39" i="8" s="1"/>
  <c r="F7" i="11"/>
  <c r="C18" i="11" s="1"/>
  <c r="E18" i="11" s="1"/>
  <c r="E18" i="12"/>
  <c r="F41" i="8" l="1"/>
  <c r="C151" i="8" s="1"/>
  <c r="F151" i="8" s="1"/>
  <c r="E34" i="12"/>
  <c r="F18" i="12"/>
  <c r="E34" i="11"/>
  <c r="F18" i="11"/>
  <c r="F8" i="11"/>
  <c r="F52" i="11" l="1"/>
  <c r="F52" i="12"/>
  <c r="F53" i="12"/>
  <c r="F53" i="11"/>
  <c r="F34" i="12"/>
  <c r="E48" i="12"/>
  <c r="E48" i="11"/>
  <c r="F34" i="11"/>
  <c r="F54" i="12" l="1"/>
  <c r="F54" i="11"/>
  <c r="I9" i="4" s="1"/>
  <c r="I11" i="4" s="1"/>
  <c r="I16" i="4" s="1"/>
  <c r="F48" i="11"/>
  <c r="C52" i="11"/>
  <c r="C52" i="12"/>
  <c r="C53" i="12"/>
  <c r="F48" i="12"/>
  <c r="C53" i="11"/>
  <c r="G9" i="4" l="1"/>
  <c r="G11" i="4" s="1"/>
  <c r="G16" i="4" s="1"/>
  <c r="F9" i="4"/>
  <c r="F11" i="4" s="1"/>
  <c r="F16" i="4" s="1"/>
  <c r="J9" i="4"/>
  <c r="J11" i="4" s="1"/>
  <c r="J16" i="4" s="1"/>
  <c r="C9" i="4"/>
  <c r="C11" i="4" s="1"/>
  <c r="C16" i="4" s="1"/>
  <c r="B9" i="4"/>
  <c r="B11" i="4" s="1"/>
  <c r="B16" i="4" s="1"/>
  <c r="E9" i="4"/>
  <c r="E11" i="4" s="1"/>
  <c r="E16" i="4" s="1"/>
  <c r="H9" i="4"/>
  <c r="H11" i="4" s="1"/>
  <c r="H16" i="4" s="1"/>
  <c r="L9" i="4"/>
  <c r="L11" i="4" s="1"/>
  <c r="L16" i="4" s="1"/>
  <c r="D9" i="4"/>
  <c r="D11" i="4" s="1"/>
  <c r="D16" i="4" s="1"/>
  <c r="C54" i="11"/>
  <c r="C54" i="12"/>
  <c r="M9" i="4"/>
  <c r="M11" i="4" s="1"/>
  <c r="M16" i="4" s="1"/>
  <c r="K9" i="4"/>
  <c r="K11" i="4" s="1"/>
  <c r="K16" i="4" s="1"/>
  <c r="D53" i="11"/>
  <c r="D53" i="12"/>
  <c r="D52" i="12"/>
  <c r="D54" i="12" s="1"/>
  <c r="D52" i="11"/>
  <c r="D54" i="11" l="1"/>
</calcChain>
</file>

<file path=xl/comments1.xml><?xml version="1.0" encoding="utf-8"?>
<comments xmlns="http://schemas.openxmlformats.org/spreadsheetml/2006/main">
  <authors>
    <author>Volgenandt, Stefan (LVWO)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Beinhaltet Kosten die nicht direkt einer Kultur zugeordnet werden können, z.B.
- Unterhalt Wirtschaftsgebäude
- Versicherungen
- Abschreibungen Maschinen
- Hof- und Wegeflächen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Durchschnittspreis 0,40€/kg
Durchschnittsertrag 7.500 kg
--&gt;3.000€
3% der erwarteten Einnahmen
--&gt;90€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Durchschnittspreis 0,40€/kg
Durchschnittsertrag 7.500 kg
--&gt;3.000€
5% der erwarteten Einnahmen
--&gt;150€</t>
        </r>
      </text>
    </comment>
  </commentList>
</comments>
</file>

<file path=xl/sharedStrings.xml><?xml version="1.0" encoding="utf-8"?>
<sst xmlns="http://schemas.openxmlformats.org/spreadsheetml/2006/main" count="846" uniqueCount="315">
  <si>
    <t>Produktionsverfahren:</t>
  </si>
  <si>
    <t>Ertragsphase:</t>
  </si>
  <si>
    <t>Ertragsanlage</t>
  </si>
  <si>
    <t>ohne MwSt.</t>
  </si>
  <si>
    <t>Arbeitsgang</t>
  </si>
  <si>
    <t>Akh insg.</t>
  </si>
  <si>
    <t>Mh</t>
  </si>
  <si>
    <t>Maschine 1</t>
  </si>
  <si>
    <t>Maschine 2</t>
  </si>
  <si>
    <t>Maschine 3</t>
  </si>
  <si>
    <t>Summe Masch.k €/ ha</t>
  </si>
  <si>
    <t>Summe</t>
  </si>
  <si>
    <t>variable  K. €/ h</t>
  </si>
  <si>
    <r>
      <t xml:space="preserve">variable  K. €/ </t>
    </r>
    <r>
      <rPr>
        <sz val="10"/>
        <color rgb="FFFF0000"/>
        <rFont val="Arial"/>
        <family val="2"/>
      </rPr>
      <t>ha</t>
    </r>
  </si>
  <si>
    <t xml:space="preserve">Bei Angabe der variablen Maschinenkosten in Euro pro ha muss die Formel in Spalte N geprüft und gegebenenfalls </t>
  </si>
  <si>
    <t>angepasst werden!</t>
  </si>
  <si>
    <t>Akh: Arbeitskraftstunde</t>
  </si>
  <si>
    <t>Mh: Maschinenstunde</t>
  </si>
  <si>
    <t>Auflistung der Arbeitsgänge, Arbeitszeiten und Berechnung der variablen Maschinenkosten</t>
  </si>
  <si>
    <t>Junganlage</t>
  </si>
  <si>
    <t>Neuanlage</t>
  </si>
  <si>
    <t>Altanlage roden</t>
  </si>
  <si>
    <t>Anlage erstellen</t>
  </si>
  <si>
    <t>Summe Roden</t>
  </si>
  <si>
    <t>Pflegearbeiten</t>
  </si>
  <si>
    <t>Summe Erstellung</t>
  </si>
  <si>
    <r>
      <rPr>
        <sz val="8"/>
        <color theme="1"/>
        <rFont val="Arial"/>
        <family val="2"/>
      </rPr>
      <t xml:space="preserve">davon </t>
    </r>
    <r>
      <rPr>
        <sz val="10"/>
        <color theme="1"/>
        <rFont val="Arial"/>
        <family val="2"/>
      </rPr>
      <t>Akh Sais.</t>
    </r>
  </si>
  <si>
    <t xml:space="preserve">Summe  </t>
  </si>
  <si>
    <t>Summe Pflege für DB</t>
  </si>
  <si>
    <t>Einheit</t>
  </si>
  <si>
    <t>Einheit:</t>
  </si>
  <si>
    <t>kg</t>
  </si>
  <si>
    <t>€/ Einheit</t>
  </si>
  <si>
    <t>Aufteilung der Arbeitszeiten auf die Monate</t>
  </si>
  <si>
    <t>Jan.</t>
  </si>
  <si>
    <t>Feb.</t>
  </si>
  <si>
    <t>März</t>
  </si>
  <si>
    <t>April</t>
  </si>
  <si>
    <t>Mai</t>
  </si>
  <si>
    <t>Juni</t>
  </si>
  <si>
    <t>Juli</t>
  </si>
  <si>
    <t xml:space="preserve">Aug. </t>
  </si>
  <si>
    <t>Sept.</t>
  </si>
  <si>
    <t>Okt.</t>
  </si>
  <si>
    <t>Nov.</t>
  </si>
  <si>
    <t>Dez.</t>
  </si>
  <si>
    <t>Aggregation</t>
  </si>
  <si>
    <t>l/ha</t>
  </si>
  <si>
    <t>Dauer der jeweiligen Ertragsphase eingeben!</t>
  </si>
  <si>
    <t>Ertragsphase</t>
  </si>
  <si>
    <t>insgesamt</t>
  </si>
  <si>
    <t>Dauer, Jahre</t>
  </si>
  <si>
    <t>aggregiert</t>
  </si>
  <si>
    <t>(= gewichteter Durchschnitt über alle Ertragsphasen)</t>
  </si>
  <si>
    <t>Pflanzenschutz, Blattdüngung, Herbizide</t>
  </si>
  <si>
    <t xml:space="preserve">Beh. </t>
  </si>
  <si>
    <t>Datum,</t>
  </si>
  <si>
    <t>Mittelname</t>
  </si>
  <si>
    <t>Basis</t>
  </si>
  <si>
    <t xml:space="preserve">x </t>
  </si>
  <si>
    <t>Mittel</t>
  </si>
  <si>
    <t>Wasser</t>
  </si>
  <si>
    <t>Mittelpreis</t>
  </si>
  <si>
    <t>Kosten</t>
  </si>
  <si>
    <t>Nr.</t>
  </si>
  <si>
    <t>l/ha bzw.</t>
  </si>
  <si>
    <t>Basis-</t>
  </si>
  <si>
    <t>€/l bzw.</t>
  </si>
  <si>
    <t>€/ha</t>
  </si>
  <si>
    <t>kg/ha</t>
  </si>
  <si>
    <t>aufwand</t>
  </si>
  <si>
    <t>tats.</t>
  </si>
  <si>
    <t>€/kg</t>
  </si>
  <si>
    <t>ha</t>
  </si>
  <si>
    <t>1 ha</t>
  </si>
  <si>
    <t>Leistungen</t>
  </si>
  <si>
    <t>Einheiten/ ha</t>
  </si>
  <si>
    <t>€/ ha</t>
  </si>
  <si>
    <t>Summe Leistungen</t>
  </si>
  <si>
    <t>variable Kosten</t>
  </si>
  <si>
    <t>Summe Umlaufvermögen</t>
  </si>
  <si>
    <t>Zinsansatz</t>
  </si>
  <si>
    <t>Summe variable Kosten inkl. Zinsansatz</t>
  </si>
  <si>
    <t>Deckungsbeitrag</t>
  </si>
  <si>
    <t>Ust. Satz</t>
  </si>
  <si>
    <t>Deckungsbeitrag für Planung</t>
  </si>
  <si>
    <t>ohne Zinsansatz</t>
  </si>
  <si>
    <t>Akh</t>
  </si>
  <si>
    <t>Ertrags-</t>
  </si>
  <si>
    <t>Jung-</t>
  </si>
  <si>
    <t>Dauer der jeweiligen Ertragsphase im Blatt "Arbeitszeitverteilung" eingeben!</t>
  </si>
  <si>
    <t>DB aggregiert</t>
  </si>
  <si>
    <t>DB aggregiert für Planung</t>
  </si>
  <si>
    <t>jährliche Abschreibung der Anlage</t>
  </si>
  <si>
    <t>Arbeitszeit der Familien.Ak</t>
  </si>
  <si>
    <t>Akh/ha</t>
  </si>
  <si>
    <t>Lohnansatz</t>
  </si>
  <si>
    <t>pro ha</t>
  </si>
  <si>
    <t>pro Familien- Akh</t>
  </si>
  <si>
    <t>€/Einheit</t>
  </si>
  <si>
    <t>inkl. Erstellung</t>
  </si>
  <si>
    <t>(Basis: Herstellungskosten ohne Lohnansatz Fam. Ak.)</t>
  </si>
  <si>
    <t xml:space="preserve">Saison-Ak </t>
  </si>
  <si>
    <t>Stadium</t>
  </si>
  <si>
    <t>Marktgebühr</t>
  </si>
  <si>
    <t>Bewässerung</t>
  </si>
  <si>
    <t>m³</t>
  </si>
  <si>
    <t>Kultur</t>
  </si>
  <si>
    <t>Sorte</t>
  </si>
  <si>
    <t>Kulturverfahren</t>
  </si>
  <si>
    <t>Pflanzmaterial</t>
  </si>
  <si>
    <t>Reihenabstand</t>
  </si>
  <si>
    <t>Pflanzdichte</t>
  </si>
  <si>
    <t>Flächenverlust</t>
  </si>
  <si>
    <t>Preis</t>
  </si>
  <si>
    <t>Pacht</t>
  </si>
  <si>
    <t>Substrat</t>
  </si>
  <si>
    <t>pro kg</t>
  </si>
  <si>
    <t>ertragsunabhänige Kosten in €/kg</t>
  </si>
  <si>
    <t>ertragsabhänige Kosten in €/kg</t>
  </si>
  <si>
    <t>Preisuntergrenze</t>
  </si>
  <si>
    <t>Material</t>
  </si>
  <si>
    <t>Düngerstation: Wasservorrat</t>
  </si>
  <si>
    <t>Düngerstation: Dosierung</t>
  </si>
  <si>
    <t>Düngerstation: Steuerungseinheit</t>
  </si>
  <si>
    <t>Töpfe</t>
  </si>
  <si>
    <t>Antiwurzeltuch</t>
  </si>
  <si>
    <t>Nivellieren</t>
  </si>
  <si>
    <t>Bodenvorbereitung</t>
  </si>
  <si>
    <t>Menge</t>
  </si>
  <si>
    <t>Gerüstsystem</t>
  </si>
  <si>
    <t>Bewässerungssystem</t>
  </si>
  <si>
    <t>Überdachung: Konstruktion</t>
  </si>
  <si>
    <t>Überdachung: Folie/Netze</t>
  </si>
  <si>
    <t>Befestigungsmaterial (z.B. Clipse)</t>
  </si>
  <si>
    <t>Saatgut Dauerbegrünung</t>
  </si>
  <si>
    <t>Zwischensumme Material</t>
  </si>
  <si>
    <t>Stunden</t>
  </si>
  <si>
    <t>Erstellung Gerüst</t>
  </si>
  <si>
    <t>Erstellung Überdachung</t>
  </si>
  <si>
    <t>Erstellung Bewässerung</t>
  </si>
  <si>
    <t>Kulturführung 1.Jahr</t>
  </si>
  <si>
    <t>Dünger + Pflanzenschutz 1.Jahr</t>
  </si>
  <si>
    <t>Zwischensumme Arbeitsgänge</t>
  </si>
  <si>
    <t>Arbeitsgänge</t>
  </si>
  <si>
    <t>Rodung</t>
  </si>
  <si>
    <t>Arbeitsstunden</t>
  </si>
  <si>
    <t>Zwischensumme Rodung</t>
  </si>
  <si>
    <t>Gesamt</t>
  </si>
  <si>
    <t>Afa Jahre</t>
  </si>
  <si>
    <t>Kosten/Jahr</t>
  </si>
  <si>
    <t>€/Stunde</t>
  </si>
  <si>
    <t>Ertrag in kg/ha</t>
  </si>
  <si>
    <t>anteilige jährliche Abschreibung Anlage</t>
  </si>
  <si>
    <t>Bestäuber</t>
  </si>
  <si>
    <t>variabele Maschinenkosten</t>
  </si>
  <si>
    <t>variable Maschinenkosten</t>
  </si>
  <si>
    <t>pflanzen/aufstellen</t>
  </si>
  <si>
    <t>Gesamt (ertragsunabhängig)</t>
  </si>
  <si>
    <t>Gesamt (ertragsabhängig)</t>
  </si>
  <si>
    <t>Vollertrag</t>
  </si>
  <si>
    <t>Jahre</t>
  </si>
  <si>
    <t>ertragsab-hängig pro kg</t>
  </si>
  <si>
    <t>Gesamt          pro kg</t>
  </si>
  <si>
    <t>Ertrag pro ha in kg</t>
  </si>
  <si>
    <t>Ertragsgrenzen</t>
  </si>
  <si>
    <t>Verpackung, Schalen 250 g</t>
  </si>
  <si>
    <t>Steigen für 16 Schalen</t>
  </si>
  <si>
    <t>Einzelkosten Vollertrag</t>
  </si>
  <si>
    <t>Ertragsunabhängige Einzelkosten</t>
  </si>
  <si>
    <t>Ertragsabhängige Einzelkosten</t>
  </si>
  <si>
    <t>Einzelkosten Gesamt</t>
  </si>
  <si>
    <t>Einzelkosten Junganlage</t>
  </si>
  <si>
    <t>Einzelkosten gesamt in €/kg</t>
  </si>
  <si>
    <t>Lohnkosten</t>
  </si>
  <si>
    <t>Saison Ak</t>
  </si>
  <si>
    <t>Fest Ak</t>
  </si>
  <si>
    <t>Unterhaltung Anlage (% der Investition)</t>
  </si>
  <si>
    <t>Eine Kalkulationshilfe der                 STAATLICHEN LEHR- UND VERSUCHSANSTALT</t>
  </si>
  <si>
    <t xml:space="preserve">                                                                 FÜR WEIN- UND OBSTBAU WEINSBERG</t>
  </si>
  <si>
    <t>Investitionskosten Anlage</t>
  </si>
  <si>
    <t>Pflückleistung in kg/h</t>
  </si>
  <si>
    <t>Verpackungsgröße</t>
  </si>
  <si>
    <t>Verpackungseinheiten je kg</t>
  </si>
  <si>
    <t>Laufmeter Ertragsfläche</t>
  </si>
  <si>
    <t>Ertrag kg/Laufmeter</t>
  </si>
  <si>
    <t>Summe ertragsunab-hängig</t>
  </si>
  <si>
    <t>Kosten: Verpackung</t>
  </si>
  <si>
    <t>Kosten: Kühlung</t>
  </si>
  <si>
    <t>Kosten: Marktaufbereitung</t>
  </si>
  <si>
    <t>Kosten: Düngung</t>
  </si>
  <si>
    <t>Kosten: Pflanzenschutz</t>
  </si>
  <si>
    <t>Bei der vorliegenden Kalkulation wurden durchschnittliche Richtwerte für die Berechnungen</t>
  </si>
  <si>
    <t>auf diese oder ähnliche Weise Verwendung finden. Deshalb kann eine allgemeine Durchschnitts-</t>
  </si>
  <si>
    <t xml:space="preserve">kalkulation nie die genauen betriebsindividuellen Kosten darstellen. Aus diesem Grund ist es für </t>
  </si>
  <si>
    <t>eine detailierte Preiskalkulation notwendig, die vorhandenen Werte mit den individuellen Gegeben-</t>
  </si>
  <si>
    <t>verwendet. Bei den Kulturarbeiten handelt sich um Standardverfahren, die in der Praxis meist</t>
  </si>
  <si>
    <t>heiten im eigenen Betrieb zu vergleichen und bei Bedarf anzupassen.</t>
  </si>
  <si>
    <t>insbesondere Felder mit Formeln, sind gesperrt, um ein überschreiben auszuschließen.</t>
  </si>
  <si>
    <t>Eintragungen sind nur in den dafür vorgesehenen Feldern möglich. Alle anderen Felder,</t>
  </si>
  <si>
    <t>Summe Arbeitsstunden (Akh)</t>
  </si>
  <si>
    <t>Akh: Aufwuchs entfernen</t>
  </si>
  <si>
    <t>Akh: Schnitt, Anbinden</t>
  </si>
  <si>
    <t>Akh: Kontrolle</t>
  </si>
  <si>
    <t>Akh: Lüften</t>
  </si>
  <si>
    <t>Akh: Spritzen, Mulchen</t>
  </si>
  <si>
    <t>Akh: Folien/Netze aufziehen</t>
  </si>
  <si>
    <t>Akh: Folien/Netze abbauen</t>
  </si>
  <si>
    <t>Akh: weitere Arbeitsgänge</t>
  </si>
  <si>
    <t>Akh: pflücken</t>
  </si>
  <si>
    <t>Akh: Kontrolle, Transport</t>
  </si>
  <si>
    <t>Akh: Pflücken</t>
  </si>
  <si>
    <t>Allgemeine Bedienungsanleitung</t>
  </si>
  <si>
    <t>dt</t>
  </si>
  <si>
    <t>St.</t>
  </si>
  <si>
    <t>Pflanzenschutz, Blattdünger</t>
  </si>
  <si>
    <t>Prozentsatz</t>
  </si>
  <si>
    <t xml:space="preserve">                                                            FÜR WEIN- UND OBSTBAU WEINSBERG</t>
  </si>
  <si>
    <t>Ernte</t>
  </si>
  <si>
    <t>Ernte Transport, Kontrolle</t>
  </si>
  <si>
    <t>Die Datei ist in zwei separate Kalkulationen gegliedert. Die farblich gelb markierten Tabellenblätter</t>
  </si>
  <si>
    <t>(Investitionskosten Anlage, Einzelkosten Vollertrag, Einzelkosten Neuanlage und Ertragsgrenzen)</t>
  </si>
  <si>
    <t>gehören zur Vollkostenrechnung. Die farblich grün markierten Tabellenblätter die mit Deckungs-</t>
  </si>
  <si>
    <t>beitrag tituliert sind gehören zur Deckungsbeitragsrechnung. In dieser Rechnung sind die Arbeits-</t>
  </si>
  <si>
    <t>gänge und Kosten detailierter aufgeschlüsselt. In der Vollkostenkalkulation sind hingegen die Werte</t>
  </si>
  <si>
    <t>teilweise zusammengefasst, um eine bessere Übersichtlichkeit zu erreichen.</t>
  </si>
  <si>
    <t>Kosten Kühlung</t>
  </si>
  <si>
    <t>Kosten Marktaufbereitung</t>
  </si>
  <si>
    <t>Schale</t>
  </si>
  <si>
    <t>Unterhalt der Anlage (% der Investion)</t>
  </si>
  <si>
    <t>Wasser in m³</t>
  </si>
  <si>
    <t>Wasser 1.Jahr in m³</t>
  </si>
  <si>
    <t>Polyram WG</t>
  </si>
  <si>
    <t>Harnstoff</t>
  </si>
  <si>
    <t>Aug.</t>
  </si>
  <si>
    <t>Folicur</t>
  </si>
  <si>
    <t>QuickDown</t>
  </si>
  <si>
    <t>Toil</t>
  </si>
  <si>
    <t>Flexidor</t>
  </si>
  <si>
    <t>Stomp aqua</t>
  </si>
  <si>
    <t>Quick Down</t>
  </si>
  <si>
    <t>Neem Azal</t>
  </si>
  <si>
    <t>Flint</t>
  </si>
  <si>
    <t>Stomp Aqua</t>
  </si>
  <si>
    <t>Kumulus WG</t>
  </si>
  <si>
    <t>Signum</t>
  </si>
  <si>
    <t>Kristalon Orange</t>
  </si>
  <si>
    <t>Roundup Power Flex</t>
  </si>
  <si>
    <t>Abhäckseln der Sträucher</t>
  </si>
  <si>
    <t>Schlepper</t>
  </si>
  <si>
    <t xml:space="preserve">Forstmulcher </t>
  </si>
  <si>
    <t>Wurzelstock fräsen</t>
  </si>
  <si>
    <t>Fräse</t>
  </si>
  <si>
    <t>Herbizid Fahrgasse</t>
  </si>
  <si>
    <t>Herbizidspritze</t>
  </si>
  <si>
    <t>Fass 400 l</t>
  </si>
  <si>
    <t>Untergrundlockern</t>
  </si>
  <si>
    <t>Tieflockerer</t>
  </si>
  <si>
    <t>Pflügen</t>
  </si>
  <si>
    <t>Drehpflug 4-Schar</t>
  </si>
  <si>
    <t>Fräsen 2 x</t>
  </si>
  <si>
    <t>Bodenuntersuchung</t>
  </si>
  <si>
    <t>Transporter</t>
  </si>
  <si>
    <t>Vermessen der Reihen</t>
  </si>
  <si>
    <t>Pflanzen</t>
  </si>
  <si>
    <t>Pflanzmaschine</t>
  </si>
  <si>
    <t>Einsaat Begrünung</t>
  </si>
  <si>
    <t>Kreiselegge</t>
  </si>
  <si>
    <t>Sämaschine</t>
  </si>
  <si>
    <t>Herbizid 2 x</t>
  </si>
  <si>
    <t>Pflanzenschutz 3 x</t>
  </si>
  <si>
    <t>Sprühgerät</t>
  </si>
  <si>
    <t>Mulchen 3 x</t>
  </si>
  <si>
    <t>Sichelmulcher</t>
  </si>
  <si>
    <t>N-Düngung</t>
  </si>
  <si>
    <t>Schleuderstreuer</t>
  </si>
  <si>
    <t>Masch.hacke Reihen 3 x</t>
  </si>
  <si>
    <t>Grubber</t>
  </si>
  <si>
    <t>Handhacke Reihen 3 x</t>
  </si>
  <si>
    <t>Handhacke</t>
  </si>
  <si>
    <t>Winterschnitt</t>
  </si>
  <si>
    <t>Messerbalken</t>
  </si>
  <si>
    <t>Pflanzenschutz 5 x</t>
  </si>
  <si>
    <t>Mulchen 5x</t>
  </si>
  <si>
    <t>N-Düngung 2 x</t>
  </si>
  <si>
    <t>Traubenwagen</t>
  </si>
  <si>
    <t>Aufwuchs v. Bäumen entf.</t>
  </si>
  <si>
    <t>Lohnunternehmer</t>
  </si>
  <si>
    <t>Pflanzenschutz 7 x</t>
  </si>
  <si>
    <t>Mulchen 5 x</t>
  </si>
  <si>
    <t>Düngerstreuer</t>
  </si>
  <si>
    <t>Bestandskontrolle</t>
  </si>
  <si>
    <t>Schwarze Johannisbeere, Ben Alder, Industrieware</t>
  </si>
  <si>
    <t>Großkistenmiete</t>
  </si>
  <si>
    <t>Ertrag</t>
  </si>
  <si>
    <t>Allgemeinkosten 2000 €/ha</t>
  </si>
  <si>
    <t>Risikozuschlag 90 €/ha</t>
  </si>
  <si>
    <t>Gewinnzuschlag 150 €/ha</t>
  </si>
  <si>
    <t>Ertrag in kg/Pflanze</t>
  </si>
  <si>
    <t>Akh: Handhacke</t>
  </si>
  <si>
    <t>Schwarze Johannisbeeren</t>
  </si>
  <si>
    <t>Ben Alder</t>
  </si>
  <si>
    <t>2jährige Jungpflanzen</t>
  </si>
  <si>
    <t>3,50m</t>
  </si>
  <si>
    <t>0,5m</t>
  </si>
  <si>
    <t>Freiland, Industrieware</t>
  </si>
  <si>
    <t>Düngung (Hühnermist Pellet)</t>
  </si>
  <si>
    <t>t</t>
  </si>
  <si>
    <t>Düngung (KAS)</t>
  </si>
  <si>
    <t>Düngung, Harnstoff 50 N</t>
  </si>
  <si>
    <t>Summe ertragsunabhängig</t>
  </si>
  <si>
    <t>Standzeit in Jahren</t>
  </si>
  <si>
    <t>Flächengröße brutto in ha</t>
  </si>
  <si>
    <t>Flächengröße netto in ha</t>
  </si>
  <si>
    <t>Version: Stand 04.08.2020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</si>
</sst>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%"/>
    <numFmt numFmtId="166" formatCode="#,##0_ ;\-#,##0\ "/>
    <numFmt numFmtId="167" formatCode="_-* #,##0.00\ [$€-407]_-;\-* #,##0.00\ [$€-407]_-;_-* &quot;-&quot;??\ [$€-407]_-;_-@_-"/>
    <numFmt numFmtId="168" formatCode="_-* #,##0\ &quot;€&quot;_-;\-* #,##0\ &quot;€&quot;_-;_-* &quot;-&quot;??\ &quot;€&quot;_-;_-@_-"/>
    <numFmt numFmtId="169" formatCode="_-* #,##0\ [$€-407]_-;\-* #,##0\ [$€-407]_-;_-* &quot;-&quot;??\ [$€-407]_-;_-@_-"/>
    <numFmt numFmtId="170" formatCode="#,##0.00\ &quot;€&quot;"/>
    <numFmt numFmtId="171" formatCode="#,##0.0"/>
    <numFmt numFmtId="172" formatCode="#,##0.0_ ;\-#,##0.0\ "/>
  </numFmts>
  <fonts count="2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16"/>
      <color theme="1"/>
      <name val="Arial"/>
      <family val="2"/>
    </font>
    <font>
      <sz val="11"/>
      <color theme="0"/>
      <name val="Arial"/>
      <family val="2"/>
    </font>
    <font>
      <b/>
      <sz val="8"/>
      <color rgb="FF000000"/>
      <name val="Arial Black"/>
      <family val="2"/>
    </font>
    <font>
      <b/>
      <u/>
      <sz val="14"/>
      <color theme="1"/>
      <name val="Arial"/>
      <family val="2"/>
    </font>
    <font>
      <b/>
      <sz val="10"/>
      <color rgb="FF000000"/>
      <name val="Arial Blac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339933"/>
        <bgColor indexed="64"/>
      </patternFill>
    </fill>
    <fill>
      <patternFill patternType="solid">
        <fgColor rgb="FFFFFF99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auto="1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auto="1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auto="1"/>
      </right>
      <top style="dashed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4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</cellStyleXfs>
  <cellXfs count="563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0" xfId="0" applyFont="1"/>
    <xf numFmtId="0" fontId="6" fillId="0" borderId="0" xfId="0" applyFont="1"/>
    <xf numFmtId="1" fontId="4" fillId="0" borderId="8" xfId="1" applyNumberFormat="1" applyFont="1" applyBorder="1" applyAlignment="1">
      <alignment wrapText="1"/>
    </xf>
    <xf numFmtId="1" fontId="4" fillId="0" borderId="9" xfId="1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7" fillId="0" borderId="7" xfId="0" applyFont="1" applyBorder="1" applyAlignment="1">
      <alignment wrapText="1"/>
    </xf>
    <xf numFmtId="0" fontId="7" fillId="0" borderId="22" xfId="0" applyFont="1" applyBorder="1" applyAlignment="1">
      <alignment wrapText="1"/>
    </xf>
    <xf numFmtId="1" fontId="4" fillId="0" borderId="24" xfId="1" applyNumberFormat="1" applyFont="1" applyBorder="1" applyAlignment="1">
      <alignment wrapText="1"/>
    </xf>
    <xf numFmtId="1" fontId="4" fillId="0" borderId="25" xfId="1" applyNumberFormat="1" applyFont="1" applyBorder="1" applyAlignment="1">
      <alignment wrapText="1"/>
    </xf>
    <xf numFmtId="1" fontId="4" fillId="0" borderId="26" xfId="1" applyNumberFormat="1" applyFont="1" applyBorder="1" applyAlignment="1">
      <alignment wrapText="1"/>
    </xf>
    <xf numFmtId="0" fontId="4" fillId="0" borderId="27" xfId="0" applyFont="1" applyBorder="1" applyAlignment="1"/>
    <xf numFmtId="0" fontId="7" fillId="0" borderId="24" xfId="0" applyFont="1" applyBorder="1" applyAlignment="1">
      <alignment wrapText="1"/>
    </xf>
    <xf numFmtId="1" fontId="7" fillId="0" borderId="25" xfId="1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1" fontId="7" fillId="0" borderId="11" xfId="1" applyNumberFormat="1" applyFont="1" applyBorder="1" applyAlignment="1">
      <alignment wrapText="1"/>
    </xf>
    <xf numFmtId="44" fontId="7" fillId="0" borderId="11" xfId="2" applyNumberFormat="1" applyFont="1" applyBorder="1" applyAlignment="1">
      <alignment wrapText="1"/>
    </xf>
    <xf numFmtId="44" fontId="7" fillId="0" borderId="12" xfId="2" applyNumberFormat="1" applyFont="1" applyBorder="1" applyAlignment="1">
      <alignment wrapText="1"/>
    </xf>
    <xf numFmtId="44" fontId="7" fillId="0" borderId="11" xfId="2" applyFont="1" applyBorder="1" applyAlignment="1">
      <alignment wrapText="1"/>
    </xf>
    <xf numFmtId="44" fontId="7" fillId="0" borderId="12" xfId="2" applyFont="1" applyBorder="1" applyAlignment="1">
      <alignment wrapText="1"/>
    </xf>
    <xf numFmtId="43" fontId="7" fillId="0" borderId="11" xfId="2" applyNumberFormat="1" applyFont="1" applyBorder="1" applyAlignment="1">
      <alignment wrapText="1"/>
    </xf>
    <xf numFmtId="43" fontId="7" fillId="0" borderId="12" xfId="2" applyNumberFormat="1" applyFont="1" applyBorder="1" applyAlignment="1">
      <alignment wrapText="1"/>
    </xf>
    <xf numFmtId="0" fontId="7" fillId="0" borderId="49" xfId="0" applyFont="1" applyBorder="1" applyAlignment="1">
      <alignment wrapText="1"/>
    </xf>
    <xf numFmtId="44" fontId="7" fillId="0" borderId="27" xfId="2" applyNumberFormat="1" applyFont="1" applyBorder="1" applyAlignment="1">
      <alignment wrapText="1"/>
    </xf>
    <xf numFmtId="0" fontId="7" fillId="0" borderId="27" xfId="0" applyFont="1" applyBorder="1" applyAlignment="1">
      <alignment wrapText="1"/>
    </xf>
    <xf numFmtId="44" fontId="7" fillId="0" borderId="27" xfId="2" applyFont="1" applyBorder="1" applyAlignment="1">
      <alignment wrapText="1"/>
    </xf>
    <xf numFmtId="43" fontId="7" fillId="0" borderId="27" xfId="2" applyNumberFormat="1" applyFont="1" applyBorder="1" applyAlignment="1">
      <alignment wrapText="1"/>
    </xf>
    <xf numFmtId="43" fontId="7" fillId="0" borderId="50" xfId="2" applyNumberFormat="1" applyFont="1" applyBorder="1" applyAlignment="1">
      <alignment wrapText="1"/>
    </xf>
    <xf numFmtId="2" fontId="0" fillId="0" borderId="27" xfId="0" applyNumberFormat="1" applyBorder="1"/>
    <xf numFmtId="0" fontId="0" fillId="0" borderId="21" xfId="0" applyBorder="1"/>
    <xf numFmtId="0" fontId="0" fillId="0" borderId="49" xfId="0" applyBorder="1"/>
    <xf numFmtId="0" fontId="0" fillId="0" borderId="0" xfId="0" applyFont="1"/>
    <xf numFmtId="0" fontId="0" fillId="0" borderId="3" xfId="0" applyBorder="1"/>
    <xf numFmtId="0" fontId="0" fillId="0" borderId="17" xfId="0" applyBorder="1"/>
    <xf numFmtId="0" fontId="0" fillId="0" borderId="60" xfId="0" applyBorder="1"/>
    <xf numFmtId="0" fontId="9" fillId="0" borderId="0" xfId="0" applyFont="1"/>
    <xf numFmtId="0" fontId="0" fillId="0" borderId="51" xfId="0" applyBorder="1"/>
    <xf numFmtId="0" fontId="0" fillId="0" borderId="52" xfId="0" applyBorder="1"/>
    <xf numFmtId="0" fontId="0" fillId="0" borderId="4" xfId="0" applyBorder="1"/>
    <xf numFmtId="0" fontId="0" fillId="0" borderId="1" xfId="0" applyBorder="1"/>
    <xf numFmtId="0" fontId="0" fillId="0" borderId="24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0" xfId="0" applyBorder="1"/>
    <xf numFmtId="0" fontId="0" fillId="0" borderId="66" xfId="0" applyBorder="1"/>
    <xf numFmtId="0" fontId="0" fillId="0" borderId="0" xfId="0" applyFont="1" applyFill="1"/>
    <xf numFmtId="0" fontId="0" fillId="2" borderId="0" xfId="0" applyFont="1" applyFill="1"/>
    <xf numFmtId="0" fontId="4" fillId="0" borderId="20" xfId="0" applyFont="1" applyBorder="1" applyAlignment="1">
      <alignment wrapText="1"/>
    </xf>
    <xf numFmtId="0" fontId="4" fillId="0" borderId="65" xfId="0" applyFont="1" applyBorder="1" applyAlignment="1">
      <alignment wrapText="1"/>
    </xf>
    <xf numFmtId="0" fontId="4" fillId="0" borderId="70" xfId="0" applyFont="1" applyBorder="1" applyAlignment="1">
      <alignment wrapText="1"/>
    </xf>
    <xf numFmtId="0" fontId="4" fillId="0" borderId="67" xfId="0" applyFont="1" applyBorder="1" applyAlignment="1">
      <alignment wrapText="1"/>
    </xf>
    <xf numFmtId="1" fontId="4" fillId="0" borderId="3" xfId="1" applyNumberFormat="1" applyFont="1" applyBorder="1" applyAlignment="1">
      <alignment wrapText="1"/>
    </xf>
    <xf numFmtId="1" fontId="4" fillId="0" borderId="7" xfId="1" applyNumberFormat="1" applyFont="1" applyBorder="1" applyAlignment="1">
      <alignment wrapText="1"/>
    </xf>
    <xf numFmtId="0" fontId="4" fillId="0" borderId="53" xfId="0" applyFont="1" applyBorder="1"/>
    <xf numFmtId="1" fontId="4" fillId="0" borderId="22" xfId="0" applyNumberFormat="1" applyFont="1" applyBorder="1"/>
    <xf numFmtId="1" fontId="4" fillId="0" borderId="72" xfId="0" applyNumberFormat="1" applyFont="1" applyBorder="1"/>
    <xf numFmtId="1" fontId="4" fillId="0" borderId="16" xfId="0" applyNumberFormat="1" applyFont="1" applyBorder="1" applyAlignment="1">
      <alignment wrapText="1"/>
    </xf>
    <xf numFmtId="1" fontId="4" fillId="0" borderId="8" xfId="0" applyNumberFormat="1" applyFont="1" applyBorder="1" applyAlignment="1">
      <alignment wrapText="1"/>
    </xf>
    <xf numFmtId="1" fontId="4" fillId="0" borderId="8" xfId="2" applyNumberFormat="1" applyFont="1" applyBorder="1" applyAlignment="1">
      <alignment wrapText="1"/>
    </xf>
    <xf numFmtId="1" fontId="4" fillId="0" borderId="9" xfId="2" applyNumberFormat="1" applyFont="1" applyBorder="1" applyAlignment="1">
      <alignment wrapText="1"/>
    </xf>
    <xf numFmtId="1" fontId="4" fillId="0" borderId="18" xfId="0" applyNumberFormat="1" applyFont="1" applyBorder="1"/>
    <xf numFmtId="1" fontId="5" fillId="0" borderId="1" xfId="0" applyNumberFormat="1" applyFont="1" applyBorder="1"/>
    <xf numFmtId="1" fontId="4" fillId="0" borderId="23" xfId="0" applyNumberFormat="1" applyFont="1" applyBorder="1"/>
    <xf numFmtId="1" fontId="7" fillId="0" borderId="10" xfId="0" applyNumberFormat="1" applyFont="1" applyBorder="1" applyAlignment="1">
      <alignment wrapText="1"/>
    </xf>
    <xf numFmtId="1" fontId="7" fillId="0" borderId="11" xfId="2" applyNumberFormat="1" applyFont="1" applyBorder="1" applyAlignment="1">
      <alignment wrapText="1"/>
    </xf>
    <xf numFmtId="1" fontId="7" fillId="0" borderId="1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0" fontId="7" fillId="0" borderId="65" xfId="0" applyFont="1" applyBorder="1" applyAlignment="1">
      <alignment wrapText="1"/>
    </xf>
    <xf numFmtId="0" fontId="7" fillId="0" borderId="70" xfId="0" applyFont="1" applyBorder="1" applyAlignment="1">
      <alignment wrapText="1"/>
    </xf>
    <xf numFmtId="1" fontId="4" fillId="0" borderId="19" xfId="0" applyNumberFormat="1" applyFont="1" applyBorder="1"/>
    <xf numFmtId="1" fontId="7" fillId="0" borderId="69" xfId="1" applyNumberFormat="1" applyFont="1" applyBorder="1" applyAlignment="1">
      <alignment wrapText="1"/>
    </xf>
    <xf numFmtId="1" fontId="4" fillId="0" borderId="2" xfId="0" applyNumberFormat="1" applyFont="1" applyBorder="1"/>
    <xf numFmtId="1" fontId="7" fillId="0" borderId="11" xfId="0" applyNumberFormat="1" applyFont="1" applyBorder="1" applyAlignment="1">
      <alignment wrapText="1"/>
    </xf>
    <xf numFmtId="1" fontId="7" fillId="0" borderId="67" xfId="2" applyNumberFormat="1" applyFont="1" applyBorder="1" applyAlignment="1">
      <alignment wrapText="1"/>
    </xf>
    <xf numFmtId="1" fontId="5" fillId="0" borderId="5" xfId="0" applyNumberFormat="1" applyFont="1" applyBorder="1"/>
    <xf numFmtId="164" fontId="0" fillId="0" borderId="25" xfId="0" applyNumberFormat="1" applyBorder="1"/>
    <xf numFmtId="164" fontId="0" fillId="0" borderId="26" xfId="0" applyNumberFormat="1" applyBorder="1"/>
    <xf numFmtId="0" fontId="0" fillId="0" borderId="1" xfId="0" applyFont="1" applyBorder="1"/>
    <xf numFmtId="0" fontId="0" fillId="0" borderId="0" xfId="0" applyFont="1" applyBorder="1"/>
    <xf numFmtId="0" fontId="4" fillId="0" borderId="0" xfId="0" applyFont="1" applyBorder="1"/>
    <xf numFmtId="1" fontId="7" fillId="0" borderId="12" xfId="1" applyNumberFormat="1" applyFont="1" applyBorder="1" applyAlignment="1">
      <alignment wrapText="1"/>
    </xf>
    <xf numFmtId="0" fontId="2" fillId="0" borderId="20" xfId="0" applyFont="1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0" fillId="0" borderId="58" xfId="0" applyBorder="1"/>
    <xf numFmtId="0" fontId="0" fillId="0" borderId="56" xfId="0" applyBorder="1"/>
    <xf numFmtId="0" fontId="0" fillId="0" borderId="57" xfId="0" applyBorder="1"/>
    <xf numFmtId="0" fontId="0" fillId="0" borderId="14" xfId="0" applyBorder="1"/>
    <xf numFmtId="0" fontId="0" fillId="0" borderId="8" xfId="0" applyBorder="1"/>
    <xf numFmtId="0" fontId="0" fillId="0" borderId="0" xfId="0" applyFill="1"/>
    <xf numFmtId="0" fontId="2" fillId="0" borderId="0" xfId="0" applyFont="1" applyFill="1"/>
    <xf numFmtId="2" fontId="0" fillId="0" borderId="14" xfId="0" applyNumberFormat="1" applyBorder="1"/>
    <xf numFmtId="2" fontId="0" fillId="0" borderId="56" xfId="0" applyNumberFormat="1" applyBorder="1"/>
    <xf numFmtId="43" fontId="0" fillId="0" borderId="21" xfId="2" applyNumberFormat="1" applyFont="1" applyBorder="1"/>
    <xf numFmtId="2" fontId="0" fillId="0" borderId="0" xfId="0" applyNumberFormat="1" applyBorder="1"/>
    <xf numFmtId="164" fontId="0" fillId="0" borderId="0" xfId="0" applyNumberFormat="1" applyBorder="1"/>
    <xf numFmtId="1" fontId="0" fillId="0" borderId="0" xfId="0" applyNumberFormat="1" applyBorder="1"/>
    <xf numFmtId="43" fontId="0" fillId="0" borderId="0" xfId="2" applyNumberFormat="1" applyFont="1" applyBorder="1"/>
    <xf numFmtId="0" fontId="2" fillId="0" borderId="0" xfId="0" applyFont="1" applyBorder="1"/>
    <xf numFmtId="43" fontId="2" fillId="0" borderId="0" xfId="2" applyNumberFormat="1" applyFont="1" applyBorder="1"/>
    <xf numFmtId="164" fontId="0" fillId="0" borderId="78" xfId="0" applyNumberFormat="1" applyBorder="1"/>
    <xf numFmtId="44" fontId="0" fillId="0" borderId="78" xfId="2" applyFont="1" applyBorder="1"/>
    <xf numFmtId="0" fontId="0" fillId="0" borderId="62" xfId="0" applyFill="1" applyBorder="1"/>
    <xf numFmtId="0" fontId="0" fillId="0" borderId="79" xfId="0" applyBorder="1"/>
    <xf numFmtId="0" fontId="0" fillId="0" borderId="27" xfId="0" applyBorder="1"/>
    <xf numFmtId="44" fontId="0" fillId="0" borderId="27" xfId="2" applyFont="1" applyBorder="1"/>
    <xf numFmtId="44" fontId="0" fillId="0" borderId="82" xfId="2" applyFont="1" applyBorder="1"/>
    <xf numFmtId="0" fontId="0" fillId="0" borderId="84" xfId="0" applyBorder="1"/>
    <xf numFmtId="44" fontId="0" fillId="0" borderId="84" xfId="2" applyFont="1" applyBorder="1"/>
    <xf numFmtId="44" fontId="0" fillId="0" borderId="85" xfId="2" applyFont="1" applyBorder="1"/>
    <xf numFmtId="44" fontId="0" fillId="0" borderId="88" xfId="2" applyFont="1" applyBorder="1"/>
    <xf numFmtId="0" fontId="2" fillId="0" borderId="61" xfId="0" applyFont="1" applyBorder="1"/>
    <xf numFmtId="0" fontId="0" fillId="0" borderId="70" xfId="0" applyBorder="1"/>
    <xf numFmtId="2" fontId="0" fillId="0" borderId="17" xfId="0" applyNumberFormat="1" applyBorder="1"/>
    <xf numFmtId="2" fontId="0" fillId="0" borderId="62" xfId="0" applyNumberFormat="1" applyBorder="1"/>
    <xf numFmtId="164" fontId="0" fillId="0" borderId="79" xfId="0" applyNumberFormat="1" applyBorder="1"/>
    <xf numFmtId="44" fontId="0" fillId="0" borderId="89" xfId="2" applyFont="1" applyBorder="1"/>
    <xf numFmtId="44" fontId="2" fillId="0" borderId="79" xfId="2" applyFont="1" applyBorder="1"/>
    <xf numFmtId="0" fontId="2" fillId="0" borderId="49" xfId="0" applyFont="1" applyFill="1" applyBorder="1"/>
    <xf numFmtId="164" fontId="0" fillId="0" borderId="27" xfId="0" applyNumberFormat="1" applyBorder="1"/>
    <xf numFmtId="44" fontId="2" fillId="0" borderId="50" xfId="2" applyFont="1" applyBorder="1"/>
    <xf numFmtId="1" fontId="0" fillId="0" borderId="84" xfId="0" applyNumberFormat="1" applyBorder="1"/>
    <xf numFmtId="44" fontId="0" fillId="0" borderId="15" xfId="2" applyFont="1" applyBorder="1"/>
    <xf numFmtId="44" fontId="0" fillId="0" borderId="57" xfId="2" applyFont="1" applyBorder="1"/>
    <xf numFmtId="44" fontId="0" fillId="0" borderId="9" xfId="2" applyFont="1" applyBorder="1"/>
    <xf numFmtId="44" fontId="0" fillId="0" borderId="1" xfId="2" applyFont="1" applyBorder="1"/>
    <xf numFmtId="44" fontId="2" fillId="0" borderId="53" xfId="2" applyFont="1" applyBorder="1"/>
    <xf numFmtId="9" fontId="0" fillId="0" borderId="84" xfId="3" applyFont="1" applyBorder="1"/>
    <xf numFmtId="0" fontId="0" fillId="0" borderId="1" xfId="0" applyBorder="1" applyAlignment="1">
      <alignment horizontal="center"/>
    </xf>
    <xf numFmtId="0" fontId="9" fillId="0" borderId="3" xfId="0" applyFont="1" applyBorder="1"/>
    <xf numFmtId="44" fontId="0" fillId="0" borderId="1" xfId="0" applyNumberFormat="1" applyBorder="1"/>
    <xf numFmtId="44" fontId="8" fillId="0" borderId="52" xfId="0" applyNumberFormat="1" applyFont="1" applyBorder="1"/>
    <xf numFmtId="44" fontId="8" fillId="0" borderId="59" xfId="0" applyNumberFormat="1" applyFont="1" applyBorder="1"/>
    <xf numFmtId="44" fontId="8" fillId="0" borderId="25" xfId="0" applyNumberFormat="1" applyFont="1" applyBorder="1"/>
    <xf numFmtId="44" fontId="8" fillId="0" borderId="71" xfId="0" applyNumberFormat="1" applyFont="1" applyBorder="1"/>
    <xf numFmtId="44" fontId="2" fillId="0" borderId="54" xfId="2" applyFont="1" applyBorder="1"/>
    <xf numFmtId="44" fontId="2" fillId="0" borderId="23" xfId="2" applyFont="1" applyBorder="1"/>
    <xf numFmtId="0" fontId="2" fillId="0" borderId="90" xfId="0" applyFont="1" applyFill="1" applyBorder="1"/>
    <xf numFmtId="1" fontId="0" fillId="0" borderId="55" xfId="0" applyNumberFormat="1" applyBorder="1"/>
    <xf numFmtId="1" fontId="0" fillId="0" borderId="17" xfId="0" applyNumberFormat="1" applyBorder="1"/>
    <xf numFmtId="1" fontId="0" fillId="0" borderId="60" xfId="0" applyNumberFormat="1" applyBorder="1"/>
    <xf numFmtId="0" fontId="10" fillId="0" borderId="17" xfId="0" applyFont="1" applyBorder="1"/>
    <xf numFmtId="1" fontId="10" fillId="0" borderId="62" xfId="0" applyNumberFormat="1" applyFont="1" applyBorder="1"/>
    <xf numFmtId="44" fontId="2" fillId="0" borderId="89" xfId="2" applyFont="1" applyBorder="1"/>
    <xf numFmtId="166" fontId="0" fillId="0" borderId="3" xfId="1" applyNumberFormat="1" applyFont="1" applyBorder="1"/>
    <xf numFmtId="3" fontId="0" fillId="0" borderId="3" xfId="0" applyNumberFormat="1" applyBorder="1"/>
    <xf numFmtId="0" fontId="4" fillId="0" borderId="7" xfId="0" applyFont="1" applyBorder="1" applyAlignment="1"/>
    <xf numFmtId="44" fontId="4" fillId="0" borderId="8" xfId="2" applyFont="1" applyBorder="1" applyAlignment="1">
      <alignment wrapText="1"/>
    </xf>
    <xf numFmtId="44" fontId="4" fillId="0" borderId="9" xfId="2" applyFont="1" applyBorder="1" applyAlignment="1">
      <alignment wrapText="1"/>
    </xf>
    <xf numFmtId="44" fontId="4" fillId="0" borderId="1" xfId="2" applyFont="1" applyBorder="1" applyAlignment="1">
      <alignment wrapText="1"/>
    </xf>
    <xf numFmtId="44" fontId="4" fillId="0" borderId="4" xfId="2" applyFont="1" applyBorder="1" applyAlignment="1">
      <alignment wrapText="1"/>
    </xf>
    <xf numFmtId="44" fontId="4" fillId="0" borderId="18" xfId="2" applyFont="1" applyBorder="1" applyAlignment="1">
      <alignment wrapText="1"/>
    </xf>
    <xf numFmtId="44" fontId="7" fillId="0" borderId="2" xfId="2" applyFont="1" applyBorder="1" applyAlignment="1">
      <alignment wrapText="1"/>
    </xf>
    <xf numFmtId="0" fontId="4" fillId="0" borderId="49" xfId="0" applyFont="1" applyBorder="1" applyAlignment="1"/>
    <xf numFmtId="0" fontId="5" fillId="0" borderId="27" xfId="0" applyFont="1" applyBorder="1" applyAlignment="1"/>
    <xf numFmtId="44" fontId="4" fillId="0" borderId="27" xfId="2" applyFont="1" applyBorder="1" applyAlignment="1">
      <alignment wrapText="1"/>
    </xf>
    <xf numFmtId="44" fontId="4" fillId="0" borderId="50" xfId="2" applyFont="1" applyBorder="1" applyAlignment="1">
      <alignment wrapText="1"/>
    </xf>
    <xf numFmtId="44" fontId="4" fillId="0" borderId="23" xfId="2" applyFont="1" applyBorder="1" applyAlignment="1">
      <alignment wrapText="1"/>
    </xf>
    <xf numFmtId="44" fontId="7" fillId="0" borderId="23" xfId="2" applyFont="1" applyBorder="1" applyAlignment="1">
      <alignment wrapText="1"/>
    </xf>
    <xf numFmtId="0" fontId="0" fillId="0" borderId="53" xfId="0" applyBorder="1"/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/>
    <xf numFmtId="44" fontId="0" fillId="0" borderId="0" xfId="0" applyNumberFormat="1"/>
    <xf numFmtId="167" fontId="0" fillId="0" borderId="15" xfId="2" applyNumberFormat="1" applyFont="1" applyBorder="1"/>
    <xf numFmtId="167" fontId="0" fillId="0" borderId="57" xfId="2" applyNumberFormat="1" applyFont="1" applyBorder="1"/>
    <xf numFmtId="167" fontId="0" fillId="0" borderId="68" xfId="2" applyNumberFormat="1" applyFont="1" applyBorder="1"/>
    <xf numFmtId="167" fontId="2" fillId="0" borderId="12" xfId="2" applyNumberFormat="1" applyFont="1" applyBorder="1"/>
    <xf numFmtId="0" fontId="0" fillId="0" borderId="1" xfId="0" applyBorder="1" applyAlignment="1">
      <alignment horizontal="center"/>
    </xf>
    <xf numFmtId="0" fontId="11" fillId="0" borderId="0" xfId="0" applyFont="1"/>
    <xf numFmtId="0" fontId="0" fillId="0" borderId="97" xfId="0" applyBorder="1"/>
    <xf numFmtId="0" fontId="2" fillId="3" borderId="1" xfId="0" applyFont="1" applyFill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2" fillId="3" borderId="10" xfId="0" applyFont="1" applyFill="1" applyBorder="1"/>
    <xf numFmtId="0" fontId="2" fillId="3" borderId="1" xfId="0" applyFont="1" applyFill="1" applyBorder="1" applyAlignment="1">
      <alignment horizontal="right"/>
    </xf>
    <xf numFmtId="0" fontId="12" fillId="3" borderId="1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17" xfId="0" applyFont="1" applyFill="1" applyBorder="1" applyAlignment="1">
      <alignment horizontal="right"/>
    </xf>
    <xf numFmtId="0" fontId="11" fillId="0" borderId="60" xfId="0" applyFont="1" applyBorder="1" applyAlignment="1">
      <alignment horizontal="center"/>
    </xf>
    <xf numFmtId="0" fontId="0" fillId="0" borderId="0" xfId="0" applyBorder="1" applyAlignment="1">
      <alignment horizontal="left" vertical="top"/>
    </xf>
    <xf numFmtId="44" fontId="0" fillId="0" borderId="56" xfId="2" applyFont="1" applyBorder="1" applyAlignment="1">
      <alignment horizontal="right"/>
    </xf>
    <xf numFmtId="44" fontId="0" fillId="0" borderId="97" xfId="2" applyFont="1" applyBorder="1" applyAlignment="1">
      <alignment horizontal="right"/>
    </xf>
    <xf numFmtId="44" fontId="2" fillId="3" borderId="1" xfId="2" applyFont="1" applyFill="1" applyBorder="1" applyAlignment="1">
      <alignment horizontal="right"/>
    </xf>
    <xf numFmtId="44" fontId="12" fillId="3" borderId="53" xfId="0" applyNumberFormat="1" applyFont="1" applyFill="1" applyBorder="1" applyAlignment="1">
      <alignment horizontal="right"/>
    </xf>
    <xf numFmtId="44" fontId="0" fillId="0" borderId="99" xfId="2" applyFont="1" applyBorder="1" applyAlignment="1">
      <alignment horizontal="right"/>
    </xf>
    <xf numFmtId="168" fontId="0" fillId="0" borderId="56" xfId="2" applyNumberFormat="1" applyFont="1" applyBorder="1" applyAlignment="1">
      <alignment horizontal="right"/>
    </xf>
    <xf numFmtId="168" fontId="0" fillId="0" borderId="97" xfId="2" applyNumberFormat="1" applyFont="1" applyBorder="1" applyAlignment="1">
      <alignment horizontal="right"/>
    </xf>
    <xf numFmtId="168" fontId="2" fillId="3" borderId="1" xfId="2" applyNumberFormat="1" applyFont="1" applyFill="1" applyBorder="1" applyAlignment="1">
      <alignment horizontal="right"/>
    </xf>
    <xf numFmtId="169" fontId="0" fillId="0" borderId="56" xfId="0" applyNumberFormat="1" applyBorder="1" applyAlignment="1">
      <alignment horizontal="right"/>
    </xf>
    <xf numFmtId="169" fontId="0" fillId="0" borderId="97" xfId="0" applyNumberFormat="1" applyBorder="1" applyAlignment="1">
      <alignment horizontal="right"/>
    </xf>
    <xf numFmtId="169" fontId="2" fillId="3" borderId="1" xfId="0" applyNumberFormat="1" applyFont="1" applyFill="1" applyBorder="1" applyAlignment="1">
      <alignment horizontal="right"/>
    </xf>
    <xf numFmtId="168" fontId="0" fillId="0" borderId="99" xfId="2" applyNumberFormat="1" applyFont="1" applyBorder="1" applyAlignment="1">
      <alignment horizontal="right"/>
    </xf>
    <xf numFmtId="44" fontId="0" fillId="0" borderId="102" xfId="2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2" fillId="3" borderId="60" xfId="0" applyFont="1" applyFill="1" applyBorder="1"/>
    <xf numFmtId="0" fontId="12" fillId="3" borderId="69" xfId="0" applyFont="1" applyFill="1" applyBorder="1"/>
    <xf numFmtId="0" fontId="0" fillId="0" borderId="92" xfId="0" applyBorder="1" applyAlignment="1">
      <alignment horizontal="right"/>
    </xf>
    <xf numFmtId="0" fontId="2" fillId="3" borderId="60" xfId="0" applyFont="1" applyFill="1" applyBorder="1" applyAlignment="1">
      <alignment horizontal="right"/>
    </xf>
    <xf numFmtId="44" fontId="0" fillId="0" borderId="14" xfId="2" applyFont="1" applyBorder="1" applyAlignment="1">
      <alignment horizontal="right"/>
    </xf>
    <xf numFmtId="44" fontId="12" fillId="3" borderId="53" xfId="2" applyFont="1" applyFill="1" applyBorder="1" applyAlignment="1">
      <alignment horizontal="right"/>
    </xf>
    <xf numFmtId="168" fontId="12" fillId="3" borderId="11" xfId="2" applyNumberFormat="1" applyFont="1" applyFill="1" applyBorder="1" applyAlignment="1">
      <alignment horizontal="right"/>
    </xf>
    <xf numFmtId="44" fontId="0" fillId="0" borderId="56" xfId="0" applyNumberFormat="1" applyBorder="1" applyAlignment="1">
      <alignment horizontal="right"/>
    </xf>
    <xf numFmtId="168" fontId="0" fillId="0" borderId="56" xfId="0" applyNumberFormat="1" applyBorder="1"/>
    <xf numFmtId="168" fontId="0" fillId="0" borderId="56" xfId="2" applyNumberFormat="1" applyFont="1" applyBorder="1"/>
    <xf numFmtId="0" fontId="0" fillId="0" borderId="1" xfId="0" applyBorder="1" applyAlignment="1">
      <alignment horizontal="center" wrapText="1"/>
    </xf>
    <xf numFmtId="44" fontId="0" fillId="0" borderId="56" xfId="0" applyNumberFormat="1" applyBorder="1"/>
    <xf numFmtId="0" fontId="11" fillId="3" borderId="1" xfId="0" applyFont="1" applyFill="1" applyBorder="1" applyAlignment="1">
      <alignment horizontal="center"/>
    </xf>
    <xf numFmtId="168" fontId="11" fillId="3" borderId="1" xfId="2" applyNumberFormat="1" applyFont="1" applyFill="1" applyBorder="1"/>
    <xf numFmtId="44" fontId="11" fillId="3" borderId="1" xfId="2" applyFont="1" applyFill="1" applyBorder="1"/>
    <xf numFmtId="0" fontId="11" fillId="3" borderId="1" xfId="0" applyFont="1" applyFill="1" applyBorder="1"/>
    <xf numFmtId="0" fontId="0" fillId="0" borderId="1" xfId="0" applyBorder="1" applyAlignment="1">
      <alignment horizontal="center" vertical="center"/>
    </xf>
    <xf numFmtId="44" fontId="2" fillId="3" borderId="1" xfId="0" applyNumberFormat="1" applyFont="1" applyFill="1" applyBorder="1"/>
    <xf numFmtId="44" fontId="12" fillId="3" borderId="11" xfId="0" applyNumberFormat="1" applyFont="1" applyFill="1" applyBorder="1"/>
    <xf numFmtId="44" fontId="11" fillId="3" borderId="1" xfId="2" applyNumberFormat="1" applyFont="1" applyFill="1" applyBorder="1"/>
    <xf numFmtId="3" fontId="2" fillId="3" borderId="60" xfId="0" applyNumberFormat="1" applyFont="1" applyFill="1" applyBorder="1" applyAlignment="1">
      <alignment horizontal="center"/>
    </xf>
    <xf numFmtId="3" fontId="12" fillId="3" borderId="1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44" fontId="2" fillId="3" borderId="3" xfId="0" applyNumberFormat="1" applyFont="1" applyFill="1" applyBorder="1"/>
    <xf numFmtId="44" fontId="12" fillId="3" borderId="67" xfId="0" applyNumberFormat="1" applyFont="1" applyFill="1" applyBorder="1"/>
    <xf numFmtId="44" fontId="2" fillId="3" borderId="60" xfId="0" applyNumberFormat="1" applyFont="1" applyFill="1" applyBorder="1"/>
    <xf numFmtId="44" fontId="12" fillId="3" borderId="69" xfId="0" applyNumberFormat="1" applyFont="1" applyFill="1" applyBorder="1"/>
    <xf numFmtId="44" fontId="2" fillId="3" borderId="5" xfId="0" applyNumberFormat="1" applyFont="1" applyFill="1" applyBorder="1"/>
    <xf numFmtId="44" fontId="2" fillId="3" borderId="6" xfId="0" applyNumberFormat="1" applyFont="1" applyFill="1" applyBorder="1"/>
    <xf numFmtId="44" fontId="12" fillId="3" borderId="10" xfId="0" applyNumberFormat="1" applyFont="1" applyFill="1" applyBorder="1"/>
    <xf numFmtId="44" fontId="12" fillId="3" borderId="12" xfId="0" applyNumberFormat="1" applyFont="1" applyFill="1" applyBorder="1"/>
    <xf numFmtId="0" fontId="0" fillId="0" borderId="106" xfId="0" applyBorder="1"/>
    <xf numFmtId="0" fontId="0" fillId="0" borderId="107" xfId="0" applyBorder="1"/>
    <xf numFmtId="0" fontId="0" fillId="0" borderId="90" xfId="0" applyBorder="1"/>
    <xf numFmtId="0" fontId="0" fillId="0" borderId="108" xfId="0" applyBorder="1"/>
    <xf numFmtId="44" fontId="1" fillId="4" borderId="97" xfId="4" applyNumberFormat="1" applyBorder="1"/>
    <xf numFmtId="44" fontId="1" fillId="4" borderId="56" xfId="4" applyNumberFormat="1" applyBorder="1"/>
    <xf numFmtId="44" fontId="1" fillId="9" borderId="103" xfId="9" applyNumberFormat="1" applyBorder="1"/>
    <xf numFmtId="44" fontId="1" fillId="9" borderId="93" xfId="9" applyNumberFormat="1" applyBorder="1"/>
    <xf numFmtId="44" fontId="1" fillId="10" borderId="97" xfId="10" applyNumberFormat="1" applyBorder="1"/>
    <xf numFmtId="44" fontId="1" fillId="10" borderId="56" xfId="10" applyNumberFormat="1" applyBorder="1"/>
    <xf numFmtId="44" fontId="1" fillId="6" borderId="96" xfId="6" applyNumberFormat="1" applyBorder="1"/>
    <xf numFmtId="44" fontId="1" fillId="6" borderId="94" xfId="6" applyNumberFormat="1" applyBorder="1"/>
    <xf numFmtId="44" fontId="1" fillId="7" borderId="97" xfId="7" applyNumberFormat="1" applyBorder="1"/>
    <xf numFmtId="44" fontId="1" fillId="7" borderId="56" xfId="7" applyNumberFormat="1" applyBorder="1"/>
    <xf numFmtId="0" fontId="1" fillId="7" borderId="56" xfId="7" applyBorder="1"/>
    <xf numFmtId="0" fontId="1" fillId="6" borderId="94" xfId="6" applyBorder="1"/>
    <xf numFmtId="0" fontId="1" fillId="9" borderId="93" xfId="9" applyBorder="1"/>
    <xf numFmtId="0" fontId="1" fillId="10" borderId="56" xfId="10" applyBorder="1"/>
    <xf numFmtId="0" fontId="1" fillId="4" borderId="56" xfId="4" applyBorder="1"/>
    <xf numFmtId="44" fontId="14" fillId="11" borderId="97" xfId="5" applyNumberFormat="1" applyFill="1" applyBorder="1"/>
    <xf numFmtId="44" fontId="14" fillId="11" borderId="56" xfId="5" applyNumberFormat="1" applyFill="1" applyBorder="1"/>
    <xf numFmtId="0" fontId="14" fillId="11" borderId="56" xfId="5" applyFill="1" applyBorder="1"/>
    <xf numFmtId="44" fontId="1" fillId="12" borderId="104" xfId="8" applyNumberFormat="1" applyFill="1" applyBorder="1"/>
    <xf numFmtId="44" fontId="1" fillId="12" borderId="105" xfId="8" applyNumberFormat="1" applyFill="1" applyBorder="1"/>
    <xf numFmtId="44" fontId="1" fillId="12" borderId="58" xfId="8" applyNumberFormat="1" applyFill="1" applyBorder="1"/>
    <xf numFmtId="44" fontId="1" fillId="12" borderId="57" xfId="8" applyNumberFormat="1" applyFill="1" applyBorder="1"/>
    <xf numFmtId="0" fontId="1" fillId="12" borderId="58" xfId="8" applyFill="1" applyBorder="1"/>
    <xf numFmtId="0" fontId="1" fillId="12" borderId="57" xfId="8" applyFill="1" applyBorder="1"/>
    <xf numFmtId="0" fontId="15" fillId="0" borderId="0" xfId="0" applyFont="1" applyFill="1" applyBorder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3" fontId="0" fillId="0" borderId="56" xfId="0" applyNumberFormat="1" applyBorder="1" applyAlignment="1" applyProtection="1">
      <alignment horizontal="center"/>
      <protection locked="0"/>
    </xf>
    <xf numFmtId="44" fontId="0" fillId="0" borderId="56" xfId="2" applyFont="1" applyBorder="1" applyAlignment="1" applyProtection="1">
      <alignment horizontal="right"/>
      <protection locked="0"/>
    </xf>
    <xf numFmtId="3" fontId="0" fillId="0" borderId="97" xfId="0" applyNumberFormat="1" applyBorder="1" applyAlignment="1" applyProtection="1">
      <alignment horizontal="center"/>
      <protection locked="0"/>
    </xf>
    <xf numFmtId="44" fontId="0" fillId="0" borderId="97" xfId="2" applyFont="1" applyBorder="1" applyAlignment="1" applyProtection="1">
      <alignment horizontal="right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97" xfId="0" applyBorder="1" applyAlignment="1" applyProtection="1">
      <alignment horizontal="center"/>
      <protection locked="0"/>
    </xf>
    <xf numFmtId="0" fontId="0" fillId="0" borderId="56" xfId="0" applyBorder="1" applyProtection="1">
      <protection locked="0"/>
    </xf>
    <xf numFmtId="0" fontId="0" fillId="0" borderId="97" xfId="0" applyBorder="1" applyProtection="1">
      <protection locked="0"/>
    </xf>
    <xf numFmtId="3" fontId="0" fillId="0" borderId="94" xfId="0" applyNumberFormat="1" applyBorder="1" applyAlignment="1" applyProtection="1">
      <alignment horizontal="center"/>
      <protection locked="0"/>
    </xf>
    <xf numFmtId="167" fontId="0" fillId="0" borderId="56" xfId="2" applyNumberFormat="1" applyFont="1" applyBorder="1" applyAlignment="1" applyProtection="1">
      <alignment horizontal="right"/>
      <protection locked="0"/>
    </xf>
    <xf numFmtId="3" fontId="0" fillId="0" borderId="96" xfId="0" applyNumberFormat="1" applyBorder="1" applyAlignment="1" applyProtection="1">
      <alignment horizontal="center"/>
      <protection locked="0"/>
    </xf>
    <xf numFmtId="167" fontId="0" fillId="0" borderId="97" xfId="2" applyNumberFormat="1" applyFont="1" applyBorder="1" applyAlignment="1" applyProtection="1">
      <alignment horizontal="right"/>
      <protection locked="0"/>
    </xf>
    <xf numFmtId="0" fontId="0" fillId="0" borderId="98" xfId="0" applyBorder="1" applyProtection="1">
      <protection locked="0"/>
    </xf>
    <xf numFmtId="0" fontId="0" fillId="0" borderId="98" xfId="0" applyBorder="1" applyAlignment="1" applyProtection="1">
      <alignment horizontal="center"/>
      <protection locked="0"/>
    </xf>
    <xf numFmtId="44" fontId="0" fillId="0" borderId="98" xfId="2" applyFont="1" applyBorder="1" applyAlignment="1" applyProtection="1">
      <alignment horizontal="right"/>
      <protection locked="0"/>
    </xf>
    <xf numFmtId="170" fontId="0" fillId="0" borderId="96" xfId="0" applyNumberFormat="1" applyBorder="1" applyAlignment="1" applyProtection="1">
      <alignment horizontal="right"/>
      <protection locked="0"/>
    </xf>
    <xf numFmtId="3" fontId="0" fillId="0" borderId="98" xfId="0" applyNumberFormat="1" applyBorder="1" applyAlignment="1" applyProtection="1">
      <alignment horizontal="center"/>
      <protection locked="0"/>
    </xf>
    <xf numFmtId="9" fontId="0" fillId="0" borderId="109" xfId="0" applyNumberFormat="1" applyBorder="1" applyAlignment="1" applyProtection="1">
      <alignment horizontal="center"/>
      <protection locked="0"/>
    </xf>
    <xf numFmtId="170" fontId="0" fillId="0" borderId="94" xfId="0" applyNumberFormat="1" applyBorder="1" applyAlignment="1" applyProtection="1">
      <alignment horizontal="right"/>
      <protection locked="0"/>
    </xf>
    <xf numFmtId="3" fontId="0" fillId="0" borderId="8" xfId="0" applyNumberFormat="1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3" fontId="1" fillId="4" borderId="97" xfId="4" applyNumberFormat="1" applyBorder="1" applyAlignment="1" applyProtection="1">
      <alignment horizontal="center"/>
      <protection locked="0"/>
    </xf>
    <xf numFmtId="3" fontId="1" fillId="10" borderId="97" xfId="10" applyNumberFormat="1" applyBorder="1" applyAlignment="1" applyProtection="1">
      <alignment horizontal="center"/>
      <protection locked="0"/>
    </xf>
    <xf numFmtId="3" fontId="1" fillId="9" borderId="103" xfId="9" applyNumberFormat="1" applyBorder="1" applyAlignment="1" applyProtection="1">
      <alignment horizontal="center"/>
      <protection locked="0"/>
    </xf>
    <xf numFmtId="3" fontId="1" fillId="12" borderId="104" xfId="8" applyNumberFormat="1" applyFill="1" applyBorder="1" applyAlignment="1" applyProtection="1">
      <alignment horizontal="center"/>
      <protection locked="0"/>
    </xf>
    <xf numFmtId="3" fontId="1" fillId="12" borderId="105" xfId="8" applyNumberFormat="1" applyFill="1" applyBorder="1" applyAlignment="1" applyProtection="1">
      <alignment horizontal="center"/>
      <protection locked="0"/>
    </xf>
    <xf numFmtId="3" fontId="1" fillId="6" borderId="96" xfId="6" applyNumberFormat="1" applyBorder="1" applyAlignment="1" applyProtection="1">
      <alignment horizontal="center"/>
      <protection locked="0"/>
    </xf>
    <xf numFmtId="3" fontId="1" fillId="7" borderId="97" xfId="7" applyNumberFormat="1" applyBorder="1" applyAlignment="1" applyProtection="1">
      <alignment horizontal="center"/>
      <protection locked="0"/>
    </xf>
    <xf numFmtId="3" fontId="14" fillId="11" borderId="97" xfId="5" applyNumberFormat="1" applyFill="1" applyBorder="1" applyAlignment="1" applyProtection="1">
      <alignment horizontal="center"/>
      <protection locked="0"/>
    </xf>
    <xf numFmtId="44" fontId="1" fillId="4" borderId="97" xfId="4" applyNumberFormat="1" applyBorder="1" applyAlignment="1" applyProtection="1">
      <protection locked="0"/>
    </xf>
    <xf numFmtId="44" fontId="1" fillId="10" borderId="97" xfId="10" applyNumberFormat="1" applyBorder="1" applyAlignment="1" applyProtection="1">
      <protection locked="0"/>
    </xf>
    <xf numFmtId="44" fontId="1" fillId="9" borderId="103" xfId="9" applyNumberFormat="1" applyBorder="1" applyAlignment="1" applyProtection="1">
      <protection locked="0"/>
    </xf>
    <xf numFmtId="44" fontId="1" fillId="12" borderId="104" xfId="8" applyNumberFormat="1" applyFill="1" applyBorder="1" applyAlignment="1" applyProtection="1">
      <protection locked="0"/>
    </xf>
    <xf numFmtId="44" fontId="1" fillId="12" borderId="105" xfId="8" applyNumberFormat="1" applyFill="1" applyBorder="1" applyAlignment="1" applyProtection="1">
      <protection locked="0"/>
    </xf>
    <xf numFmtId="44" fontId="1" fillId="6" borderId="96" xfId="6" applyNumberFormat="1" applyBorder="1" applyAlignment="1" applyProtection="1">
      <protection locked="0"/>
    </xf>
    <xf numFmtId="44" fontId="1" fillId="7" borderId="97" xfId="7" applyNumberFormat="1" applyBorder="1" applyAlignment="1" applyProtection="1">
      <protection locked="0"/>
    </xf>
    <xf numFmtId="44" fontId="14" fillId="11" borderId="97" xfId="5" applyNumberFormat="1" applyFill="1" applyBorder="1" applyAlignment="1" applyProtection="1">
      <protection locked="0"/>
    </xf>
    <xf numFmtId="44" fontId="1" fillId="4" borderId="56" xfId="4" applyNumberFormat="1" applyBorder="1" applyAlignment="1" applyProtection="1">
      <protection locked="0"/>
    </xf>
    <xf numFmtId="44" fontId="1" fillId="10" borderId="56" xfId="10" applyNumberFormat="1" applyBorder="1" applyAlignment="1" applyProtection="1">
      <protection locked="0"/>
    </xf>
    <xf numFmtId="44" fontId="1" fillId="9" borderId="93" xfId="9" applyNumberFormat="1" applyBorder="1" applyAlignment="1" applyProtection="1">
      <protection locked="0"/>
    </xf>
    <xf numFmtId="44" fontId="1" fillId="12" borderId="58" xfId="8" applyNumberFormat="1" applyFill="1" applyBorder="1" applyAlignment="1" applyProtection="1">
      <protection locked="0"/>
    </xf>
    <xf numFmtId="44" fontId="1" fillId="12" borderId="57" xfId="8" applyNumberFormat="1" applyFill="1" applyBorder="1" applyAlignment="1" applyProtection="1">
      <protection locked="0"/>
    </xf>
    <xf numFmtId="44" fontId="1" fillId="6" borderId="94" xfId="6" applyNumberFormat="1" applyBorder="1" applyAlignment="1" applyProtection="1">
      <protection locked="0"/>
    </xf>
    <xf numFmtId="44" fontId="1" fillId="7" borderId="56" xfId="7" applyNumberFormat="1" applyBorder="1" applyAlignment="1" applyProtection="1">
      <protection locked="0"/>
    </xf>
    <xf numFmtId="44" fontId="14" fillId="11" borderId="56" xfId="5" applyNumberFormat="1" applyFill="1" applyBorder="1" applyAlignment="1" applyProtection="1">
      <protection locked="0"/>
    </xf>
    <xf numFmtId="44" fontId="3" fillId="0" borderId="1" xfId="2" applyFont="1" applyBorder="1" applyProtection="1">
      <protection locked="0"/>
    </xf>
    <xf numFmtId="0" fontId="2" fillId="3" borderId="0" xfId="0" applyFont="1" applyFill="1"/>
    <xf numFmtId="0" fontId="0" fillId="3" borderId="0" xfId="0" applyFill="1"/>
    <xf numFmtId="0" fontId="2" fillId="0" borderId="2" xfId="0" applyFont="1" applyBorder="1" applyAlignment="1" applyProtection="1">
      <alignment horizontal="center"/>
      <protection locked="0"/>
    </xf>
    <xf numFmtId="0" fontId="2" fillId="3" borderId="60" xfId="0" applyFont="1" applyFill="1" applyBorder="1" applyAlignment="1">
      <alignment horizontal="center"/>
    </xf>
    <xf numFmtId="42" fontId="2" fillId="3" borderId="2" xfId="2" applyNumberFormat="1" applyFont="1" applyFill="1" applyBorder="1" applyAlignment="1" applyProtection="1">
      <alignment horizontal="right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3" fillId="3" borderId="1" xfId="0" applyFont="1" applyFill="1" applyBorder="1" applyProtection="1">
      <protection locked="0"/>
    </xf>
    <xf numFmtId="0" fontId="16" fillId="0" borderId="0" xfId="0" applyFont="1"/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4" fillId="0" borderId="5" xfId="0" applyFont="1" applyFill="1" applyBorder="1" applyAlignment="1" applyProtection="1">
      <protection locked="0"/>
    </xf>
    <xf numFmtId="1" fontId="4" fillId="0" borderId="1" xfId="1" applyNumberFormat="1" applyFont="1" applyFill="1" applyBorder="1" applyAlignment="1" applyProtection="1">
      <alignment wrapText="1"/>
      <protection locked="0"/>
    </xf>
    <xf numFmtId="1" fontId="4" fillId="0" borderId="6" xfId="1" applyNumberFormat="1" applyFont="1" applyFill="1" applyBorder="1" applyAlignment="1" applyProtection="1">
      <alignment wrapText="1"/>
      <protection locked="0"/>
    </xf>
    <xf numFmtId="0" fontId="4" fillId="0" borderId="5" xfId="0" applyFont="1" applyFill="1" applyBorder="1" applyAlignment="1" applyProtection="1">
      <alignment wrapText="1"/>
      <protection locked="0"/>
    </xf>
    <xf numFmtId="44" fontId="4" fillId="0" borderId="8" xfId="2" applyFont="1" applyFill="1" applyBorder="1" applyAlignment="1" applyProtection="1">
      <alignment wrapText="1"/>
      <protection locked="0"/>
    </xf>
    <xf numFmtId="44" fontId="4" fillId="0" borderId="6" xfId="2" applyFont="1" applyFill="1" applyBorder="1" applyAlignment="1" applyProtection="1">
      <alignment wrapText="1"/>
      <protection locked="0"/>
    </xf>
    <xf numFmtId="0" fontId="5" fillId="0" borderId="16" xfId="0" applyFont="1" applyFill="1" applyBorder="1" applyAlignment="1" applyProtection="1">
      <protection locked="0"/>
    </xf>
    <xf numFmtId="44" fontId="4" fillId="0" borderId="1" xfId="2" applyFont="1" applyFill="1" applyBorder="1" applyAlignment="1" applyProtection="1">
      <alignment wrapText="1"/>
      <protection locked="0"/>
    </xf>
    <xf numFmtId="0" fontId="4" fillId="0" borderId="32" xfId="0" applyFont="1" applyBorder="1" applyAlignment="1" applyProtection="1">
      <protection locked="0"/>
    </xf>
    <xf numFmtId="0" fontId="5" fillId="0" borderId="91" xfId="0" applyFont="1" applyFill="1" applyBorder="1" applyAlignment="1" applyProtection="1">
      <protection locked="0"/>
    </xf>
    <xf numFmtId="3" fontId="4" fillId="0" borderId="1" xfId="1" applyNumberFormat="1" applyFont="1" applyFill="1" applyBorder="1" applyAlignment="1" applyProtection="1">
      <alignment wrapText="1"/>
      <protection locked="0"/>
    </xf>
    <xf numFmtId="3" fontId="4" fillId="0" borderId="6" xfId="1" applyNumberFormat="1" applyFont="1" applyFill="1" applyBorder="1" applyAlignment="1" applyProtection="1">
      <alignment wrapText="1"/>
      <protection locked="0"/>
    </xf>
    <xf numFmtId="0" fontId="4" fillId="0" borderId="5" xfId="0" applyFont="1" applyBorder="1" applyAlignment="1" applyProtection="1">
      <protection locked="0"/>
    </xf>
    <xf numFmtId="3" fontId="4" fillId="0" borderId="1" xfId="1" applyNumberFormat="1" applyFont="1" applyBorder="1" applyAlignment="1" applyProtection="1">
      <alignment wrapText="1"/>
      <protection locked="0"/>
    </xf>
    <xf numFmtId="3" fontId="4" fillId="0" borderId="6" xfId="1" applyNumberFormat="1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44" fontId="4" fillId="0" borderId="1" xfId="2" applyFont="1" applyBorder="1" applyAlignment="1" applyProtection="1">
      <alignment wrapText="1"/>
      <protection locked="0"/>
    </xf>
    <xf numFmtId="44" fontId="4" fillId="0" borderId="6" xfId="2" applyFont="1" applyBorder="1" applyAlignment="1" applyProtection="1">
      <alignment wrapText="1"/>
      <protection locked="0"/>
    </xf>
    <xf numFmtId="0" fontId="5" fillId="0" borderId="3" xfId="0" applyFont="1" applyBorder="1" applyAlignment="1" applyProtection="1">
      <protection locked="0"/>
    </xf>
    <xf numFmtId="1" fontId="4" fillId="0" borderId="1" xfId="1" applyNumberFormat="1" applyFont="1" applyBorder="1" applyAlignment="1" applyProtection="1">
      <alignment wrapText="1"/>
      <protection locked="0"/>
    </xf>
    <xf numFmtId="1" fontId="4" fillId="0" borderId="6" xfId="1" applyNumberFormat="1" applyFont="1" applyBorder="1" applyAlignment="1" applyProtection="1">
      <alignment wrapText="1"/>
      <protection locked="0"/>
    </xf>
    <xf numFmtId="44" fontId="4" fillId="0" borderId="8" xfId="2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protection locked="0"/>
    </xf>
    <xf numFmtId="0" fontId="4" fillId="0" borderId="13" xfId="0" applyFont="1" applyBorder="1" applyAlignment="1" applyProtection="1">
      <alignment wrapText="1"/>
      <protection locked="0"/>
    </xf>
    <xf numFmtId="1" fontId="4" fillId="0" borderId="14" xfId="1" applyNumberFormat="1" applyFont="1" applyBorder="1" applyAlignment="1" applyProtection="1">
      <alignment wrapText="1"/>
      <protection locked="0"/>
    </xf>
    <xf numFmtId="1" fontId="4" fillId="0" borderId="15" xfId="1" applyNumberFormat="1" applyFont="1" applyBorder="1" applyAlignment="1" applyProtection="1">
      <alignment wrapText="1"/>
      <protection locked="0"/>
    </xf>
    <xf numFmtId="0" fontId="4" fillId="0" borderId="13" xfId="0" applyFont="1" applyBorder="1" applyAlignment="1" applyProtection="1">
      <protection locked="0"/>
    </xf>
    <xf numFmtId="44" fontId="4" fillId="0" borderId="14" xfId="2" applyFont="1" applyBorder="1" applyAlignment="1" applyProtection="1">
      <alignment wrapText="1"/>
      <protection locked="0"/>
    </xf>
    <xf numFmtId="44" fontId="4" fillId="0" borderId="15" xfId="2" applyFont="1" applyBorder="1" applyAlignment="1" applyProtection="1">
      <alignment wrapText="1"/>
      <protection locked="0"/>
    </xf>
    <xf numFmtId="44" fontId="4" fillId="0" borderId="18" xfId="2" applyFont="1" applyBorder="1" applyAlignment="1" applyProtection="1">
      <alignment wrapText="1"/>
      <protection locked="0"/>
    </xf>
    <xf numFmtId="44" fontId="4" fillId="0" borderId="19" xfId="2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protection locked="0"/>
    </xf>
    <xf numFmtId="44" fontId="4" fillId="0" borderId="4" xfId="2" applyFont="1" applyBorder="1" applyAlignment="1" applyProtection="1">
      <alignment wrapText="1"/>
      <protection locked="0"/>
    </xf>
    <xf numFmtId="0" fontId="5" fillId="0" borderId="17" xfId="0" applyFont="1" applyBorder="1" applyProtection="1">
      <protection locked="0"/>
    </xf>
    <xf numFmtId="0" fontId="5" fillId="0" borderId="17" xfId="0" applyFont="1" applyBorder="1" applyAlignment="1" applyProtection="1">
      <protection locked="0"/>
    </xf>
    <xf numFmtId="0" fontId="7" fillId="0" borderId="5" xfId="0" applyFont="1" applyBorder="1" applyAlignment="1" applyProtection="1">
      <alignment wrapText="1"/>
      <protection locked="0"/>
    </xf>
    <xf numFmtId="1" fontId="4" fillId="0" borderId="1" xfId="1" applyNumberFormat="1" applyFont="1" applyBorder="1" applyAlignment="1" applyProtection="1">
      <protection locked="0"/>
    </xf>
    <xf numFmtId="0" fontId="7" fillId="0" borderId="5" xfId="0" applyFont="1" applyBorder="1" applyAlignment="1" applyProtection="1">
      <protection locked="0"/>
    </xf>
    <xf numFmtId="0" fontId="4" fillId="0" borderId="28" xfId="0" applyFont="1" applyFill="1" applyBorder="1" applyAlignment="1" applyProtection="1">
      <protection locked="0"/>
    </xf>
    <xf numFmtId="1" fontId="4" fillId="0" borderId="29" xfId="1" applyNumberFormat="1" applyFont="1" applyBorder="1" applyAlignment="1" applyProtection="1">
      <alignment wrapText="1"/>
      <protection locked="0"/>
    </xf>
    <xf numFmtId="1" fontId="4" fillId="0" borderId="30" xfId="1" applyNumberFormat="1" applyFont="1" applyBorder="1" applyAlignment="1" applyProtection="1">
      <alignment wrapText="1"/>
      <protection locked="0"/>
    </xf>
    <xf numFmtId="0" fontId="4" fillId="0" borderId="28" xfId="0" applyFont="1" applyBorder="1" applyAlignment="1" applyProtection="1">
      <alignment wrapText="1"/>
      <protection locked="0"/>
    </xf>
    <xf numFmtId="44" fontId="4" fillId="0" borderId="29" xfId="2" applyFont="1" applyBorder="1" applyAlignment="1" applyProtection="1">
      <alignment wrapText="1"/>
      <protection locked="0"/>
    </xf>
    <xf numFmtId="44" fontId="4" fillId="0" borderId="30" xfId="2" applyFont="1" applyBorder="1" applyAlignment="1" applyProtection="1">
      <alignment wrapText="1"/>
      <protection locked="0"/>
    </xf>
    <xf numFmtId="44" fontId="4" fillId="0" borderId="31" xfId="2" applyFont="1" applyBorder="1" applyAlignment="1" applyProtection="1">
      <alignment wrapText="1"/>
      <protection locked="0"/>
    </xf>
    <xf numFmtId="1" fontId="4" fillId="0" borderId="33" xfId="1" applyNumberFormat="1" applyFont="1" applyBorder="1" applyAlignment="1" applyProtection="1">
      <alignment wrapText="1"/>
      <protection locked="0"/>
    </xf>
    <xf numFmtId="1" fontId="4" fillId="0" borderId="34" xfId="1" applyNumberFormat="1" applyFont="1" applyBorder="1" applyAlignment="1" applyProtection="1">
      <alignment wrapText="1"/>
      <protection locked="0"/>
    </xf>
    <xf numFmtId="44" fontId="4" fillId="0" borderId="34" xfId="2" applyFont="1" applyBorder="1" applyAlignment="1" applyProtection="1">
      <alignment wrapText="1"/>
      <protection locked="0"/>
    </xf>
    <xf numFmtId="0" fontId="5" fillId="0" borderId="32" xfId="0" applyFont="1" applyBorder="1" applyAlignment="1" applyProtection="1">
      <alignment wrapText="1"/>
      <protection locked="0"/>
    </xf>
    <xf numFmtId="44" fontId="4" fillId="0" borderId="33" xfId="2" applyFont="1" applyBorder="1" applyAlignment="1" applyProtection="1">
      <alignment wrapText="1"/>
      <protection locked="0"/>
    </xf>
    <xf numFmtId="0" fontId="4" fillId="0" borderId="32" xfId="0" applyFont="1" applyBorder="1" applyAlignment="1" applyProtection="1">
      <alignment wrapText="1"/>
      <protection locked="0"/>
    </xf>
    <xf numFmtId="44" fontId="4" fillId="0" borderId="35" xfId="2" applyFont="1" applyBorder="1" applyAlignment="1" applyProtection="1">
      <alignment wrapText="1"/>
      <protection locked="0"/>
    </xf>
    <xf numFmtId="0" fontId="4" fillId="0" borderId="36" xfId="0" applyFont="1" applyBorder="1" applyAlignment="1" applyProtection="1">
      <alignment wrapText="1"/>
      <protection locked="0"/>
    </xf>
    <xf numFmtId="1" fontId="4" fillId="0" borderId="37" xfId="1" applyNumberFormat="1" applyFont="1" applyBorder="1" applyAlignment="1" applyProtection="1">
      <alignment wrapText="1"/>
      <protection locked="0"/>
    </xf>
    <xf numFmtId="1" fontId="4" fillId="0" borderId="38" xfId="1" applyNumberFormat="1" applyFont="1" applyBorder="1" applyAlignment="1" applyProtection="1">
      <alignment wrapText="1"/>
      <protection locked="0"/>
    </xf>
    <xf numFmtId="0" fontId="4" fillId="0" borderId="39" xfId="0" applyFont="1" applyBorder="1" applyAlignment="1" applyProtection="1">
      <protection locked="0"/>
    </xf>
    <xf numFmtId="44" fontId="4" fillId="0" borderId="37" xfId="2" applyFont="1" applyBorder="1" applyAlignment="1" applyProtection="1">
      <alignment wrapText="1"/>
      <protection locked="0"/>
    </xf>
    <xf numFmtId="44" fontId="4" fillId="0" borderId="38" xfId="2" applyFont="1" applyBorder="1" applyAlignment="1" applyProtection="1">
      <alignment wrapText="1"/>
      <protection locked="0"/>
    </xf>
    <xf numFmtId="44" fontId="4" fillId="0" borderId="40" xfId="2" applyFont="1" applyBorder="1" applyAlignment="1" applyProtection="1">
      <alignment wrapText="1"/>
      <protection locked="0"/>
    </xf>
    <xf numFmtId="44" fontId="4" fillId="0" borderId="44" xfId="2" applyFont="1" applyBorder="1" applyAlignment="1" applyProtection="1">
      <alignment wrapText="1"/>
      <protection locked="0"/>
    </xf>
    <xf numFmtId="0" fontId="4" fillId="0" borderId="32" xfId="0" applyFont="1" applyFill="1" applyBorder="1" applyAlignment="1" applyProtection="1">
      <protection locked="0"/>
    </xf>
    <xf numFmtId="1" fontId="4" fillId="0" borderId="33" xfId="1" applyNumberFormat="1" applyFont="1" applyFill="1" applyBorder="1" applyAlignment="1" applyProtection="1">
      <alignment wrapText="1"/>
      <protection locked="0"/>
    </xf>
    <xf numFmtId="0" fontId="5" fillId="0" borderId="45" xfId="0" applyFont="1" applyBorder="1" applyProtection="1">
      <protection locked="0"/>
    </xf>
    <xf numFmtId="0" fontId="4" fillId="0" borderId="28" xfId="0" applyFont="1" applyBorder="1" applyAlignment="1" applyProtection="1">
      <protection locked="0"/>
    </xf>
    <xf numFmtId="1" fontId="4" fillId="0" borderId="41" xfId="1" applyNumberFormat="1" applyFont="1" applyBorder="1" applyAlignment="1" applyProtection="1">
      <alignment wrapText="1"/>
      <protection locked="0"/>
    </xf>
    <xf numFmtId="1" fontId="4" fillId="0" borderId="42" xfId="1" applyNumberFormat="1" applyFont="1" applyBorder="1" applyAlignment="1" applyProtection="1">
      <alignment wrapText="1"/>
      <protection locked="0"/>
    </xf>
    <xf numFmtId="0" fontId="4" fillId="0" borderId="43" xfId="0" applyFont="1" applyBorder="1" applyAlignment="1" applyProtection="1">
      <protection locked="0"/>
    </xf>
    <xf numFmtId="44" fontId="4" fillId="0" borderId="41" xfId="2" applyFont="1" applyBorder="1" applyAlignment="1" applyProtection="1">
      <alignment wrapText="1"/>
      <protection locked="0"/>
    </xf>
    <xf numFmtId="44" fontId="4" fillId="0" borderId="42" xfId="2" applyFont="1" applyBorder="1" applyAlignment="1" applyProtection="1">
      <alignment wrapText="1"/>
      <protection locked="0"/>
    </xf>
    <xf numFmtId="0" fontId="5" fillId="0" borderId="45" xfId="0" applyFont="1" applyBorder="1" applyAlignment="1" applyProtection="1">
      <protection locked="0"/>
    </xf>
    <xf numFmtId="0" fontId="4" fillId="0" borderId="43" xfId="0" applyFont="1" applyBorder="1" applyAlignment="1" applyProtection="1">
      <alignment wrapText="1"/>
      <protection locked="0"/>
    </xf>
    <xf numFmtId="0" fontId="5" fillId="0" borderId="32" xfId="0" applyFont="1" applyBorder="1" applyProtection="1">
      <protection locked="0"/>
    </xf>
    <xf numFmtId="44" fontId="4" fillId="0" borderId="47" xfId="2" applyFont="1" applyBorder="1" applyAlignment="1" applyProtection="1">
      <alignment wrapText="1"/>
      <protection locked="0"/>
    </xf>
    <xf numFmtId="0" fontId="4" fillId="0" borderId="36" xfId="0" applyFont="1" applyBorder="1" applyAlignment="1" applyProtection="1">
      <protection locked="0"/>
    </xf>
    <xf numFmtId="44" fontId="4" fillId="0" borderId="46" xfId="2" applyFont="1" applyBorder="1" applyAlignment="1" applyProtection="1">
      <alignment wrapText="1"/>
      <protection locked="0"/>
    </xf>
    <xf numFmtId="44" fontId="4" fillId="0" borderId="48" xfId="2" applyFont="1" applyBorder="1" applyAlignment="1" applyProtection="1">
      <alignment wrapText="1"/>
      <protection locked="0"/>
    </xf>
    <xf numFmtId="1" fontId="4" fillId="0" borderId="46" xfId="1" applyNumberFormat="1" applyFont="1" applyBorder="1" applyAlignment="1" applyProtection="1">
      <alignment wrapText="1"/>
      <protection locked="0"/>
    </xf>
    <xf numFmtId="1" fontId="4" fillId="0" borderId="47" xfId="1" applyNumberFormat="1" applyFont="1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1" fontId="4" fillId="0" borderId="5" xfId="1" applyNumberFormat="1" applyFont="1" applyBorder="1" applyAlignment="1" applyProtection="1">
      <alignment wrapText="1"/>
      <protection locked="0"/>
    </xf>
    <xf numFmtId="1" fontId="4" fillId="0" borderId="1" xfId="0" applyNumberFormat="1" applyFont="1" applyBorder="1" applyAlignment="1" applyProtection="1">
      <alignment wrapText="1"/>
      <protection locked="0"/>
    </xf>
    <xf numFmtId="1" fontId="4" fillId="0" borderId="1" xfId="2" applyNumberFormat="1" applyFont="1" applyBorder="1" applyAlignment="1" applyProtection="1">
      <alignment wrapText="1"/>
      <protection locked="0"/>
    </xf>
    <xf numFmtId="1" fontId="4" fillId="0" borderId="6" xfId="2" applyNumberFormat="1" applyFont="1" applyBorder="1" applyAlignment="1" applyProtection="1">
      <alignment wrapText="1"/>
      <protection locked="0"/>
    </xf>
    <xf numFmtId="1" fontId="5" fillId="0" borderId="1" xfId="0" applyNumberFormat="1" applyFont="1" applyBorder="1" applyAlignment="1" applyProtection="1">
      <alignment wrapText="1"/>
      <protection locked="0"/>
    </xf>
    <xf numFmtId="1" fontId="5" fillId="0" borderId="5" xfId="0" applyNumberFormat="1" applyFont="1" applyBorder="1" applyAlignment="1" applyProtection="1">
      <alignment wrapText="1"/>
      <protection locked="0"/>
    </xf>
    <xf numFmtId="1" fontId="5" fillId="0" borderId="1" xfId="0" applyNumberFormat="1" applyFont="1" applyBorder="1" applyProtection="1">
      <protection locked="0"/>
    </xf>
    <xf numFmtId="1" fontId="5" fillId="0" borderId="5" xfId="0" applyNumberFormat="1" applyFont="1" applyBorder="1" applyProtection="1">
      <protection locked="0"/>
    </xf>
    <xf numFmtId="1" fontId="4" fillId="0" borderId="13" xfId="1" applyNumberFormat="1" applyFont="1" applyBorder="1" applyAlignment="1" applyProtection="1">
      <alignment wrapText="1"/>
      <protection locked="0"/>
    </xf>
    <xf numFmtId="1" fontId="4" fillId="0" borderId="14" xfId="0" applyNumberFormat="1" applyFont="1" applyBorder="1" applyAlignment="1" applyProtection="1">
      <alignment wrapText="1"/>
      <protection locked="0"/>
    </xf>
    <xf numFmtId="1" fontId="4" fillId="0" borderId="14" xfId="2" applyNumberFormat="1" applyFont="1" applyBorder="1" applyAlignment="1" applyProtection="1">
      <alignment wrapText="1"/>
      <protection locked="0"/>
    </xf>
    <xf numFmtId="1" fontId="4" fillId="0" borderId="15" xfId="2" applyNumberFormat="1" applyFont="1" applyBorder="1" applyAlignment="1" applyProtection="1">
      <alignment wrapText="1"/>
      <protection locked="0"/>
    </xf>
    <xf numFmtId="1" fontId="4" fillId="0" borderId="7" xfId="1" applyNumberFormat="1" applyFont="1" applyBorder="1" applyAlignment="1" applyProtection="1">
      <alignment wrapText="1"/>
      <protection locked="0"/>
    </xf>
    <xf numFmtId="1" fontId="4" fillId="0" borderId="8" xfId="1" applyNumberFormat="1" applyFont="1" applyBorder="1" applyAlignment="1" applyProtection="1">
      <alignment wrapText="1"/>
      <protection locked="0"/>
    </xf>
    <xf numFmtId="1" fontId="4" fillId="0" borderId="8" xfId="0" applyNumberFormat="1" applyFont="1" applyBorder="1" applyAlignment="1" applyProtection="1">
      <alignment wrapText="1"/>
      <protection locked="0"/>
    </xf>
    <xf numFmtId="1" fontId="4" fillId="0" borderId="8" xfId="2" applyNumberFormat="1" applyFont="1" applyBorder="1" applyAlignment="1" applyProtection="1">
      <alignment wrapText="1"/>
      <protection locked="0"/>
    </xf>
    <xf numFmtId="1" fontId="4" fillId="0" borderId="9" xfId="2" applyNumberFormat="1" applyFont="1" applyBorder="1" applyAlignment="1" applyProtection="1">
      <alignment wrapText="1"/>
      <protection locked="0"/>
    </xf>
    <xf numFmtId="1" fontId="4" fillId="0" borderId="1" xfId="0" applyNumberFormat="1" applyFont="1" applyBorder="1" applyAlignment="1" applyProtection="1">
      <protection locked="0"/>
    </xf>
    <xf numFmtId="1" fontId="4" fillId="0" borderId="24" xfId="1" applyNumberFormat="1" applyFont="1" applyBorder="1" applyAlignment="1" applyProtection="1">
      <alignment wrapText="1"/>
      <protection locked="0"/>
    </xf>
    <xf numFmtId="1" fontId="4" fillId="0" borderId="25" xfId="1" applyNumberFormat="1" applyFont="1" applyBorder="1" applyAlignment="1" applyProtection="1">
      <alignment wrapText="1"/>
      <protection locked="0"/>
    </xf>
    <xf numFmtId="1" fontId="4" fillId="0" borderId="25" xfId="0" applyNumberFormat="1" applyFont="1" applyBorder="1" applyAlignment="1" applyProtection="1">
      <alignment wrapText="1"/>
      <protection locked="0"/>
    </xf>
    <xf numFmtId="1" fontId="4" fillId="0" borderId="25" xfId="2" applyNumberFormat="1" applyFont="1" applyBorder="1" applyAlignment="1" applyProtection="1">
      <alignment wrapText="1"/>
      <protection locked="0"/>
    </xf>
    <xf numFmtId="1" fontId="4" fillId="0" borderId="26" xfId="2" applyNumberFormat="1" applyFont="1" applyBorder="1" applyAlignment="1" applyProtection="1">
      <alignment wrapText="1"/>
      <protection locked="0"/>
    </xf>
    <xf numFmtId="0" fontId="0" fillId="0" borderId="13" xfId="0" applyBorder="1" applyProtection="1">
      <protection locked="0"/>
    </xf>
    <xf numFmtId="2" fontId="0" fillId="0" borderId="14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0" fontId="0" fillId="0" borderId="58" xfId="0" applyBorder="1" applyProtection="1">
      <protection locked="0"/>
    </xf>
    <xf numFmtId="2" fontId="0" fillId="0" borderId="56" xfId="0" applyNumberFormat="1" applyBorder="1" applyProtection="1">
      <protection locked="0"/>
    </xf>
    <xf numFmtId="164" fontId="0" fillId="0" borderId="56" xfId="0" applyNumberFormat="1" applyBorder="1" applyProtection="1">
      <protection locked="0"/>
    </xf>
    <xf numFmtId="0" fontId="0" fillId="0" borderId="76" xfId="0" applyBorder="1" applyProtection="1">
      <protection locked="0"/>
    </xf>
    <xf numFmtId="0" fontId="0" fillId="0" borderId="77" xfId="0" applyBorder="1" applyProtection="1">
      <protection locked="0"/>
    </xf>
    <xf numFmtId="2" fontId="0" fillId="0" borderId="77" xfId="0" applyNumberFormat="1" applyBorder="1" applyProtection="1">
      <protection locked="0"/>
    </xf>
    <xf numFmtId="164" fontId="0" fillId="0" borderId="77" xfId="0" applyNumberFormat="1" applyBorder="1" applyProtection="1">
      <protection locked="0"/>
    </xf>
    <xf numFmtId="1" fontId="0" fillId="0" borderId="14" xfId="0" applyNumberFormat="1" applyBorder="1" applyProtection="1">
      <protection locked="0"/>
    </xf>
    <xf numFmtId="1" fontId="0" fillId="0" borderId="56" xfId="0" applyNumberFormat="1" applyBorder="1" applyProtection="1">
      <protection locked="0"/>
    </xf>
    <xf numFmtId="1" fontId="0" fillId="0" borderId="77" xfId="0" applyNumberFormat="1" applyBorder="1" applyProtection="1">
      <protection locked="0"/>
    </xf>
    <xf numFmtId="44" fontId="0" fillId="0" borderId="14" xfId="2" applyFont="1" applyBorder="1" applyProtection="1">
      <protection locked="0"/>
    </xf>
    <xf numFmtId="44" fontId="0" fillId="0" borderId="56" xfId="2" applyFont="1" applyBorder="1" applyProtection="1">
      <protection locked="0"/>
    </xf>
    <xf numFmtId="0" fontId="0" fillId="0" borderId="80" xfId="0" applyBorder="1" applyProtection="1">
      <protection locked="0"/>
    </xf>
    <xf numFmtId="0" fontId="0" fillId="0" borderId="81" xfId="0" applyBorder="1" applyProtection="1">
      <protection locked="0"/>
    </xf>
    <xf numFmtId="3" fontId="0" fillId="0" borderId="81" xfId="1" applyNumberFormat="1" applyFont="1" applyBorder="1" applyProtection="1">
      <protection locked="0"/>
    </xf>
    <xf numFmtId="165" fontId="0" fillId="0" borderId="81" xfId="3" applyNumberFormat="1" applyFont="1" applyBorder="1" applyProtection="1">
      <protection locked="0"/>
    </xf>
    <xf numFmtId="44" fontId="0" fillId="0" borderId="81" xfId="2" applyFont="1" applyFill="1" applyBorder="1" applyProtection="1">
      <protection locked="0"/>
    </xf>
    <xf numFmtId="0" fontId="0" fillId="0" borderId="83" xfId="0" applyBorder="1" applyProtection="1">
      <protection locked="0"/>
    </xf>
    <xf numFmtId="0" fontId="0" fillId="0" borderId="84" xfId="0" applyBorder="1" applyProtection="1">
      <protection locked="0"/>
    </xf>
    <xf numFmtId="3" fontId="0" fillId="0" borderId="84" xfId="0" applyNumberFormat="1" applyBorder="1" applyProtection="1">
      <protection locked="0"/>
    </xf>
    <xf numFmtId="165" fontId="0" fillId="0" borderId="84" xfId="3" applyNumberFormat="1" applyFont="1" applyBorder="1" applyProtection="1">
      <protection locked="0"/>
    </xf>
    <xf numFmtId="44" fontId="0" fillId="0" borderId="84" xfId="2" applyFont="1" applyBorder="1" applyProtection="1">
      <protection locked="0"/>
    </xf>
    <xf numFmtId="0" fontId="0" fillId="0" borderId="86" xfId="0" applyBorder="1" applyProtection="1">
      <protection locked="0"/>
    </xf>
    <xf numFmtId="0" fontId="0" fillId="0" borderId="87" xfId="0" applyBorder="1" applyProtection="1">
      <protection locked="0"/>
    </xf>
    <xf numFmtId="165" fontId="0" fillId="0" borderId="87" xfId="3" applyNumberFormat="1" applyFont="1" applyBorder="1" applyProtection="1">
      <protection locked="0"/>
    </xf>
    <xf numFmtId="44" fontId="0" fillId="0" borderId="87" xfId="2" applyFont="1" applyBorder="1" applyProtection="1">
      <protection locked="0"/>
    </xf>
    <xf numFmtId="9" fontId="0" fillId="0" borderId="84" xfId="3" applyFont="1" applyBorder="1" applyProtection="1">
      <protection locked="0"/>
    </xf>
    <xf numFmtId="44" fontId="0" fillId="0" borderId="81" xfId="2" applyFont="1" applyBorder="1" applyProtection="1">
      <protection locked="0"/>
    </xf>
    <xf numFmtId="44" fontId="0" fillId="0" borderId="111" xfId="2" applyFont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84" xfId="0" applyFill="1" applyBorder="1" applyProtection="1">
      <protection locked="0"/>
    </xf>
    <xf numFmtId="44" fontId="0" fillId="0" borderId="112" xfId="2" applyFont="1" applyBorder="1" applyProtection="1">
      <protection locked="0"/>
    </xf>
    <xf numFmtId="166" fontId="0" fillId="0" borderId="84" xfId="0" applyNumberFormat="1" applyBorder="1" applyProtection="1">
      <protection locked="0"/>
    </xf>
    <xf numFmtId="1" fontId="0" fillId="0" borderId="84" xfId="0" applyNumberFormat="1" applyBorder="1" applyProtection="1">
      <protection locked="0"/>
    </xf>
    <xf numFmtId="9" fontId="0" fillId="0" borderId="17" xfId="3" applyFont="1" applyBorder="1" applyProtection="1">
      <protection locked="0"/>
    </xf>
    <xf numFmtId="3" fontId="0" fillId="0" borderId="81" xfId="1" applyNumberFormat="1" applyFont="1" applyFill="1" applyBorder="1" applyProtection="1">
      <protection locked="0"/>
    </xf>
    <xf numFmtId="165" fontId="0" fillId="0" borderId="81" xfId="3" applyNumberFormat="1" applyFont="1" applyFill="1" applyBorder="1" applyProtection="1">
      <protection locked="0"/>
    </xf>
    <xf numFmtId="44" fontId="0" fillId="0" borderId="17" xfId="2" applyFont="1" applyBorder="1" applyProtection="1">
      <protection locked="0"/>
    </xf>
    <xf numFmtId="0" fontId="17" fillId="0" borderId="0" xfId="0" applyFont="1" applyFill="1" applyBorder="1"/>
    <xf numFmtId="165" fontId="0" fillId="0" borderId="2" xfId="2" applyNumberFormat="1" applyFont="1" applyBorder="1" applyAlignment="1" applyProtection="1">
      <alignment horizontal="center"/>
      <protection locked="0"/>
    </xf>
    <xf numFmtId="0" fontId="0" fillId="0" borderId="83" xfId="0" applyBorder="1" applyProtection="1"/>
    <xf numFmtId="9" fontId="0" fillId="0" borderId="84" xfId="3" applyFont="1" applyBorder="1" applyProtection="1"/>
    <xf numFmtId="0" fontId="0" fillId="0" borderId="80" xfId="0" applyBorder="1" applyProtection="1"/>
    <xf numFmtId="44" fontId="0" fillId="0" borderId="84" xfId="2" applyFont="1" applyBorder="1" applyProtection="1"/>
    <xf numFmtId="9" fontId="0" fillId="0" borderId="2" xfId="2" applyNumberFormat="1" applyFont="1" applyBorder="1" applyAlignment="1" applyProtection="1">
      <alignment horizontal="center"/>
    </xf>
    <xf numFmtId="3" fontId="0" fillId="0" borderId="84" xfId="0" applyNumberFormat="1" applyFill="1" applyBorder="1" applyProtection="1"/>
    <xf numFmtId="44" fontId="0" fillId="0" borderId="112" xfId="2" applyFont="1" applyBorder="1" applyProtection="1"/>
    <xf numFmtId="0" fontId="0" fillId="0" borderId="111" xfId="0" applyBorder="1" applyProtection="1">
      <protection locked="0"/>
    </xf>
    <xf numFmtId="0" fontId="0" fillId="0" borderId="84" xfId="0" applyBorder="1" applyProtection="1"/>
    <xf numFmtId="1" fontId="0" fillId="0" borderId="84" xfId="0" applyNumberFormat="1" applyBorder="1" applyProtection="1"/>
    <xf numFmtId="44" fontId="0" fillId="0" borderId="85" xfId="2" applyFont="1" applyBorder="1" applyProtection="1">
      <protection locked="0"/>
    </xf>
    <xf numFmtId="44" fontId="0" fillId="0" borderId="88" xfId="2" applyFont="1" applyBorder="1" applyProtection="1">
      <protection locked="0"/>
    </xf>
    <xf numFmtId="44" fontId="0" fillId="0" borderId="96" xfId="2" applyFont="1" applyBorder="1" applyAlignment="1" applyProtection="1">
      <alignment horizontal="right"/>
      <protection locked="0"/>
    </xf>
    <xf numFmtId="165" fontId="0" fillId="0" borderId="84" xfId="3" applyNumberFormat="1" applyFont="1" applyBorder="1"/>
    <xf numFmtId="165" fontId="0" fillId="0" borderId="111" xfId="3" applyNumberFormat="1" applyFont="1" applyBorder="1" applyProtection="1">
      <protection locked="0"/>
    </xf>
    <xf numFmtId="165" fontId="0" fillId="0" borderId="84" xfId="3" applyNumberFormat="1" applyFont="1" applyBorder="1" applyProtection="1"/>
    <xf numFmtId="44" fontId="0" fillId="0" borderId="77" xfId="2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2" fontId="0" fillId="0" borderId="8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2" fontId="0" fillId="0" borderId="8" xfId="0" applyNumberFormat="1" applyBorder="1"/>
    <xf numFmtId="1" fontId="0" fillId="0" borderId="8" xfId="0" applyNumberFormat="1" applyBorder="1" applyProtection="1">
      <protection locked="0"/>
    </xf>
    <xf numFmtId="44" fontId="0" fillId="0" borderId="8" xfId="2" applyFont="1" applyBorder="1" applyProtection="1">
      <protection locked="0"/>
    </xf>
    <xf numFmtId="167" fontId="0" fillId="0" borderId="9" xfId="2" applyNumberFormat="1" applyFont="1" applyBorder="1"/>
    <xf numFmtId="171" fontId="1" fillId="4" borderId="14" xfId="4" applyNumberFormat="1" applyBorder="1" applyAlignment="1" applyProtection="1">
      <alignment horizontal="center"/>
      <protection locked="0"/>
    </xf>
    <xf numFmtId="171" fontId="1" fillId="10" borderId="14" xfId="10" applyNumberFormat="1" applyBorder="1" applyAlignment="1" applyProtection="1">
      <alignment horizontal="center"/>
      <protection locked="0"/>
    </xf>
    <xf numFmtId="171" fontId="1" fillId="9" borderId="45" xfId="9" applyNumberFormat="1" applyBorder="1" applyAlignment="1" applyProtection="1">
      <alignment horizontal="center"/>
      <protection locked="0"/>
    </xf>
    <xf numFmtId="171" fontId="1" fillId="12" borderId="13" xfId="8" applyNumberFormat="1" applyFill="1" applyBorder="1" applyAlignment="1" applyProtection="1">
      <alignment horizontal="center"/>
      <protection locked="0"/>
    </xf>
    <xf numFmtId="171" fontId="1" fillId="12" borderId="15" xfId="8" applyNumberFormat="1" applyFill="1" applyBorder="1" applyAlignment="1" applyProtection="1">
      <alignment horizontal="center"/>
      <protection locked="0"/>
    </xf>
    <xf numFmtId="171" fontId="1" fillId="6" borderId="92" xfId="6" applyNumberFormat="1" applyBorder="1" applyAlignment="1" applyProtection="1">
      <alignment horizontal="center"/>
      <protection locked="0"/>
    </xf>
    <xf numFmtId="171" fontId="1" fillId="7" borderId="14" xfId="7" applyNumberFormat="1" applyBorder="1" applyAlignment="1" applyProtection="1">
      <alignment horizontal="center"/>
      <protection locked="0"/>
    </xf>
    <xf numFmtId="171" fontId="14" fillId="11" borderId="14" xfId="5" applyNumberFormat="1" applyFill="1" applyBorder="1" applyAlignment="1" applyProtection="1">
      <alignment horizontal="center"/>
      <protection locked="0"/>
    </xf>
    <xf numFmtId="172" fontId="0" fillId="0" borderId="84" xfId="0" applyNumberFormat="1" applyBorder="1" applyProtection="1"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70" xfId="0" applyBorder="1" applyAlignment="1">
      <alignment horizontal="left" vertical="top"/>
    </xf>
    <xf numFmtId="0" fontId="0" fillId="0" borderId="60" xfId="0" applyBorder="1" applyAlignment="1">
      <alignment horizontal="left" vertical="top"/>
    </xf>
    <xf numFmtId="0" fontId="0" fillId="0" borderId="70" xfId="0" applyBorder="1" applyAlignment="1">
      <alignment horizontal="left"/>
    </xf>
    <xf numFmtId="0" fontId="0" fillId="0" borderId="60" xfId="0" applyBorder="1" applyAlignment="1">
      <alignment horizontal="left"/>
    </xf>
    <xf numFmtId="0" fontId="13" fillId="0" borderId="0" xfId="0" applyFont="1" applyAlignment="1">
      <alignment horizontal="center" vertical="top"/>
    </xf>
    <xf numFmtId="44" fontId="12" fillId="3" borderId="67" xfId="0" applyNumberFormat="1" applyFont="1" applyFill="1" applyBorder="1" applyAlignment="1">
      <alignment horizontal="right"/>
    </xf>
    <xf numFmtId="44" fontId="12" fillId="3" borderId="69" xfId="0" applyNumberFormat="1" applyFont="1" applyFill="1" applyBorder="1" applyAlignment="1">
      <alignment horizontal="right"/>
    </xf>
    <xf numFmtId="0" fontId="0" fillId="0" borderId="45" xfId="0" applyBorder="1" applyAlignment="1" applyProtection="1">
      <alignment horizontal="left" vertical="top" wrapText="1"/>
      <protection locked="0"/>
    </xf>
    <xf numFmtId="0" fontId="0" fillId="0" borderId="100" xfId="0" applyBorder="1" applyAlignment="1" applyProtection="1">
      <alignment horizontal="left" vertical="top" wrapText="1"/>
      <protection locked="0"/>
    </xf>
    <xf numFmtId="0" fontId="0" fillId="0" borderId="93" xfId="0" applyBorder="1" applyAlignment="1" applyProtection="1">
      <alignment horizontal="left" vertical="top" wrapText="1"/>
      <protection locked="0"/>
    </xf>
    <xf numFmtId="0" fontId="0" fillId="0" borderId="78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01" xfId="0" applyBorder="1" applyAlignment="1" applyProtection="1">
      <alignment horizontal="left" vertical="top" wrapText="1"/>
      <protection locked="0"/>
    </xf>
    <xf numFmtId="0" fontId="0" fillId="0" borderId="103" xfId="0" applyBorder="1" applyAlignment="1" applyProtection="1">
      <alignment horizontal="left"/>
      <protection locked="0"/>
    </xf>
    <xf numFmtId="0" fontId="0" fillId="0" borderId="96" xfId="0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16" xfId="0" applyBorder="1" applyAlignment="1" applyProtection="1">
      <alignment horizontal="left"/>
      <protection locked="0"/>
    </xf>
    <xf numFmtId="0" fontId="0" fillId="0" borderId="95" xfId="0" applyBorder="1" applyAlignment="1" applyProtection="1">
      <alignment horizontal="left"/>
      <protection locked="0"/>
    </xf>
    <xf numFmtId="0" fontId="12" fillId="3" borderId="20" xfId="0" applyFont="1" applyFill="1" applyBorder="1" applyAlignment="1">
      <alignment horizontal="left"/>
    </xf>
    <xf numFmtId="0" fontId="12" fillId="3" borderId="2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0" fillId="0" borderId="45" xfId="0" applyBorder="1" applyAlignment="1" applyProtection="1">
      <alignment horizontal="left"/>
      <protection locked="0"/>
    </xf>
    <xf numFmtId="0" fontId="0" fillId="0" borderId="92" xfId="0" applyBorder="1" applyAlignment="1" applyProtection="1">
      <alignment horizontal="left"/>
      <protection locked="0"/>
    </xf>
    <xf numFmtId="0" fontId="0" fillId="0" borderId="109" xfId="0" applyBorder="1" applyAlignment="1" applyProtection="1">
      <alignment horizontal="left"/>
      <protection locked="0"/>
    </xf>
    <xf numFmtId="0" fontId="0" fillId="0" borderId="110" xfId="0" applyBorder="1" applyAlignment="1" applyProtection="1">
      <alignment horizontal="left"/>
      <protection locked="0"/>
    </xf>
    <xf numFmtId="0" fontId="11" fillId="0" borderId="3" xfId="0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0" fontId="0" fillId="0" borderId="45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3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45" xfId="0" applyBorder="1" applyAlignment="1">
      <alignment horizontal="left" vertical="top" wrapText="1"/>
    </xf>
    <xf numFmtId="0" fontId="0" fillId="0" borderId="100" xfId="0" applyBorder="1" applyAlignment="1">
      <alignment horizontal="left" vertical="top" wrapText="1"/>
    </xf>
    <xf numFmtId="0" fontId="0" fillId="0" borderId="93" xfId="0" applyBorder="1" applyAlignment="1">
      <alignment horizontal="left" vertical="top" wrapText="1"/>
    </xf>
    <xf numFmtId="0" fontId="0" fillId="0" borderId="78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91" xfId="0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13" fillId="0" borderId="0" xfId="0" applyFont="1" applyAlignment="1">
      <alignment horizontal="center"/>
    </xf>
    <xf numFmtId="3" fontId="0" fillId="0" borderId="3" xfId="0" applyNumberFormat="1" applyBorder="1" applyAlignment="1" applyProtection="1">
      <alignment horizontal="center" vertical="center"/>
      <protection locked="0"/>
    </xf>
    <xf numFmtId="3" fontId="0" fillId="0" borderId="89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left"/>
    </xf>
    <xf numFmtId="0" fontId="0" fillId="0" borderId="101" xfId="0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3" fontId="0" fillId="0" borderId="84" xfId="0" applyNumberFormat="1" applyBorder="1" applyAlignment="1" applyProtection="1">
      <alignment horizontal="center"/>
    </xf>
    <xf numFmtId="3" fontId="0" fillId="0" borderId="85" xfId="0" applyNumberFormat="1" applyBorder="1" applyAlignment="1" applyProtection="1">
      <alignment horizontal="center"/>
    </xf>
    <xf numFmtId="3" fontId="0" fillId="0" borderId="84" xfId="0" applyNumberFormat="1" applyBorder="1" applyAlignment="1">
      <alignment horizontal="center"/>
    </xf>
    <xf numFmtId="3" fontId="0" fillId="0" borderId="85" xfId="0" applyNumberFormat="1" applyBorder="1" applyAlignment="1">
      <alignment horizontal="center"/>
    </xf>
    <xf numFmtId="0" fontId="0" fillId="0" borderId="84" xfId="0" applyBorder="1" applyAlignment="1" applyProtection="1">
      <alignment horizontal="center"/>
    </xf>
    <xf numFmtId="0" fontId="0" fillId="0" borderId="83" xfId="0" applyBorder="1" applyAlignment="1" applyProtection="1">
      <alignment horizontal="left"/>
    </xf>
    <xf numFmtId="0" fontId="0" fillId="0" borderId="84" xfId="0" applyBorder="1" applyAlignment="1" applyProtection="1">
      <alignment horizontal="left"/>
    </xf>
  </cellXfs>
  <cellStyles count="11">
    <cellStyle name="20 % - Akzent3" xfId="6" builtinId="38"/>
    <cellStyle name="20 % - Akzent6" xfId="9" builtinId="50"/>
    <cellStyle name="40 % - Akzent2" xfId="4" builtinId="35"/>
    <cellStyle name="40 % - Akzent3" xfId="7" builtinId="39"/>
    <cellStyle name="40 % - Akzent5" xfId="8" builtinId="47"/>
    <cellStyle name="40 % - Akzent6" xfId="10" builtinId="51"/>
    <cellStyle name="Akzent3" xfId="5" builtinId="37"/>
    <cellStyle name="Komma" xfId="1" builtinId="3"/>
    <cellStyle name="Prozent" xfId="3" builtinId="5"/>
    <cellStyle name="Standard" xfId="0" builtinId="0"/>
    <cellStyle name="Währung" xfId="2" builtinId="4"/>
  </cellStyles>
  <dxfs count="0"/>
  <tableStyles count="0" defaultTableStyle="TableStyleMedium2" defaultPivotStyle="PivotStyleLight16"/>
  <colors>
    <mruColors>
      <color rgb="FF00CC00"/>
      <color rgb="FFFFFF99"/>
      <color rgb="FF33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1485900</xdr:colOff>
          <xdr:row>0</xdr:row>
          <xdr:rowOff>9525</xdr:rowOff>
        </xdr:from>
        <xdr:to>
          <xdr:col>0</xdr:col>
          <xdr:colOff>2124075</xdr:colOff>
          <xdr:row>2</xdr:row>
          <xdr:rowOff>9525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9525</xdr:rowOff>
        </xdr:from>
        <xdr:to>
          <xdr:col>1</xdr:col>
          <xdr:colOff>0</xdr:colOff>
          <xdr:row>2</xdr:row>
          <xdr:rowOff>9525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428625</xdr:colOff>
          <xdr:row>0</xdr:row>
          <xdr:rowOff>9525</xdr:rowOff>
        </xdr:from>
        <xdr:to>
          <xdr:col>2</xdr:col>
          <xdr:colOff>228600</xdr:colOff>
          <xdr:row>2</xdr:row>
          <xdr:rowOff>9525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9525</xdr:rowOff>
        </xdr:from>
        <xdr:to>
          <xdr:col>1</xdr:col>
          <xdr:colOff>0</xdr:colOff>
          <xdr:row>2</xdr:row>
          <xdr:rowOff>9525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428625</xdr:colOff>
          <xdr:row>0</xdr:row>
          <xdr:rowOff>9525</xdr:rowOff>
        </xdr:from>
        <xdr:to>
          <xdr:col>2</xdr:col>
          <xdr:colOff>228600</xdr:colOff>
          <xdr:row>2</xdr:row>
          <xdr:rowOff>9525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0</xdr:row>
          <xdr:rowOff>9525</xdr:rowOff>
        </xdr:from>
        <xdr:to>
          <xdr:col>4</xdr:col>
          <xdr:colOff>0</xdr:colOff>
          <xdr:row>2</xdr:row>
          <xdr:rowOff>9525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561975</xdr:colOff>
          <xdr:row>0</xdr:row>
          <xdr:rowOff>9525</xdr:rowOff>
        </xdr:from>
        <xdr:to>
          <xdr:col>5</xdr:col>
          <xdr:colOff>361950</xdr:colOff>
          <xdr:row>2</xdr:row>
          <xdr:rowOff>9525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41</xdr:row>
          <xdr:rowOff>85725</xdr:rowOff>
        </xdr:from>
        <xdr:to>
          <xdr:col>1</xdr:col>
          <xdr:colOff>0</xdr:colOff>
          <xdr:row>43</xdr:row>
          <xdr:rowOff>123825</xdr:rowOff>
        </xdr:to>
        <xdr:sp macro="" textlink="">
          <xdr:nvSpPr>
            <xdr:cNvPr id="11267" name="Object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41</xdr:row>
          <xdr:rowOff>28575</xdr:rowOff>
        </xdr:from>
        <xdr:to>
          <xdr:col>3</xdr:col>
          <xdr:colOff>266700</xdr:colOff>
          <xdr:row>44</xdr:row>
          <xdr:rowOff>85725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9525</xdr:rowOff>
        </xdr:from>
        <xdr:to>
          <xdr:col>1</xdr:col>
          <xdr:colOff>0</xdr:colOff>
          <xdr:row>3</xdr:row>
          <xdr:rowOff>9525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114300</xdr:rowOff>
        </xdr:from>
        <xdr:to>
          <xdr:col>3</xdr:col>
          <xdr:colOff>266700</xdr:colOff>
          <xdr:row>3</xdr:row>
          <xdr:rowOff>171450</xdr:rowOff>
        </xdr:to>
        <xdr:sp macro="" textlink="">
          <xdr:nvSpPr>
            <xdr:cNvPr id="11270" name="Object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79</xdr:row>
          <xdr:rowOff>38100</xdr:rowOff>
        </xdr:from>
        <xdr:to>
          <xdr:col>1</xdr:col>
          <xdr:colOff>0</xdr:colOff>
          <xdr:row>81</xdr:row>
          <xdr:rowOff>28575</xdr:rowOff>
        </xdr:to>
        <xdr:sp macro="" textlink="">
          <xdr:nvSpPr>
            <xdr:cNvPr id="11273" name="Object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78</xdr:row>
          <xdr:rowOff>142875</xdr:rowOff>
        </xdr:from>
        <xdr:to>
          <xdr:col>3</xdr:col>
          <xdr:colOff>266700</xdr:colOff>
          <xdr:row>82</xdr:row>
          <xdr:rowOff>19050</xdr:rowOff>
        </xdr:to>
        <xdr:sp macro="" textlink="">
          <xdr:nvSpPr>
            <xdr:cNvPr id="11274" name="Object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9525</xdr:rowOff>
        </xdr:from>
        <xdr:to>
          <xdr:col>1</xdr:col>
          <xdr:colOff>0</xdr:colOff>
          <xdr:row>3</xdr:row>
          <xdr:rowOff>9525</xdr:rowOff>
        </xdr:to>
        <xdr:sp macro="" textlink="">
          <xdr:nvSpPr>
            <xdr:cNvPr id="13315" name="Object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114300</xdr:rowOff>
        </xdr:from>
        <xdr:to>
          <xdr:col>3</xdr:col>
          <xdr:colOff>9525</xdr:colOff>
          <xdr:row>3</xdr:row>
          <xdr:rowOff>171450</xdr:rowOff>
        </xdr:to>
        <xdr:sp macro="" textlink="">
          <xdr:nvSpPr>
            <xdr:cNvPr id="13316" name="Object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40</xdr:row>
          <xdr:rowOff>123825</xdr:rowOff>
        </xdr:from>
        <xdr:to>
          <xdr:col>1</xdr:col>
          <xdr:colOff>0</xdr:colOff>
          <xdr:row>42</xdr:row>
          <xdr:rowOff>114300</xdr:rowOff>
        </xdr:to>
        <xdr:sp macro="" textlink="">
          <xdr:nvSpPr>
            <xdr:cNvPr id="13319" name="Object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40</xdr:row>
          <xdr:rowOff>57150</xdr:rowOff>
        </xdr:from>
        <xdr:to>
          <xdr:col>3</xdr:col>
          <xdr:colOff>9525</xdr:colOff>
          <xdr:row>43</xdr:row>
          <xdr:rowOff>104775</xdr:rowOff>
        </xdr:to>
        <xdr:sp macro="" textlink="">
          <xdr:nvSpPr>
            <xdr:cNvPr id="13320" name="Object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77</xdr:row>
          <xdr:rowOff>76200</xdr:rowOff>
        </xdr:from>
        <xdr:to>
          <xdr:col>1</xdr:col>
          <xdr:colOff>0</xdr:colOff>
          <xdr:row>79</xdr:row>
          <xdr:rowOff>95250</xdr:rowOff>
        </xdr:to>
        <xdr:sp macro="" textlink="">
          <xdr:nvSpPr>
            <xdr:cNvPr id="13321" name="Object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77</xdr:row>
          <xdr:rowOff>0</xdr:rowOff>
        </xdr:from>
        <xdr:to>
          <xdr:col>3</xdr:col>
          <xdr:colOff>9525</xdr:colOff>
          <xdr:row>80</xdr:row>
          <xdr:rowOff>57150</xdr:rowOff>
        </xdr:to>
        <xdr:sp macro="" textlink="">
          <xdr:nvSpPr>
            <xdr:cNvPr id="13322" name="Object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105</xdr:row>
          <xdr:rowOff>104775</xdr:rowOff>
        </xdr:from>
        <xdr:to>
          <xdr:col>1</xdr:col>
          <xdr:colOff>0</xdr:colOff>
          <xdr:row>107</xdr:row>
          <xdr:rowOff>123825</xdr:rowOff>
        </xdr:to>
        <xdr:sp macro="" textlink="">
          <xdr:nvSpPr>
            <xdr:cNvPr id="9219" name="Object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771525</xdr:colOff>
          <xdr:row>105</xdr:row>
          <xdr:rowOff>19050</xdr:rowOff>
        </xdr:from>
        <xdr:to>
          <xdr:col>4</xdr:col>
          <xdr:colOff>38100</xdr:colOff>
          <xdr:row>108</xdr:row>
          <xdr:rowOff>95250</xdr:rowOff>
        </xdr:to>
        <xdr:sp macro="" textlink="">
          <xdr:nvSpPr>
            <xdr:cNvPr id="9220" name="Object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51</xdr:row>
          <xdr:rowOff>142875</xdr:rowOff>
        </xdr:from>
        <xdr:to>
          <xdr:col>1</xdr:col>
          <xdr:colOff>0</xdr:colOff>
          <xdr:row>53</xdr:row>
          <xdr:rowOff>171450</xdr:rowOff>
        </xdr:to>
        <xdr:sp macro="" textlink="">
          <xdr:nvSpPr>
            <xdr:cNvPr id="9223" name="Object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771525</xdr:colOff>
          <xdr:row>51</xdr:row>
          <xdr:rowOff>57150</xdr:rowOff>
        </xdr:from>
        <xdr:to>
          <xdr:col>4</xdr:col>
          <xdr:colOff>38100</xdr:colOff>
          <xdr:row>55</xdr:row>
          <xdr:rowOff>0</xdr:rowOff>
        </xdr:to>
        <xdr:sp macro="" textlink="">
          <xdr:nvSpPr>
            <xdr:cNvPr id="9224" name="Object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9525</xdr:rowOff>
        </xdr:from>
        <xdr:to>
          <xdr:col>1</xdr:col>
          <xdr:colOff>0</xdr:colOff>
          <xdr:row>3</xdr:row>
          <xdr:rowOff>9525</xdr:rowOff>
        </xdr:to>
        <xdr:sp macro="" textlink="">
          <xdr:nvSpPr>
            <xdr:cNvPr id="9227" name="Object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771525</xdr:colOff>
          <xdr:row>0</xdr:row>
          <xdr:rowOff>85725</xdr:rowOff>
        </xdr:from>
        <xdr:to>
          <xdr:col>4</xdr:col>
          <xdr:colOff>38100</xdr:colOff>
          <xdr:row>4</xdr:row>
          <xdr:rowOff>38100</xdr:rowOff>
        </xdr:to>
        <xdr:sp macro="" textlink="">
          <xdr:nvSpPr>
            <xdr:cNvPr id="9228" name="Object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57</xdr:row>
          <xdr:rowOff>9525</xdr:rowOff>
        </xdr:from>
        <xdr:to>
          <xdr:col>1</xdr:col>
          <xdr:colOff>0</xdr:colOff>
          <xdr:row>59</xdr:row>
          <xdr:rowOff>9525</xdr:rowOff>
        </xdr:to>
        <xdr:sp macro="" textlink="">
          <xdr:nvSpPr>
            <xdr:cNvPr id="10245" name="Object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1609725</xdr:colOff>
          <xdr:row>56</xdr:row>
          <xdr:rowOff>114300</xdr:rowOff>
        </xdr:from>
        <xdr:to>
          <xdr:col>1</xdr:col>
          <xdr:colOff>476250</xdr:colOff>
          <xdr:row>60</xdr:row>
          <xdr:rowOff>38100</xdr:rowOff>
        </xdr:to>
        <xdr:sp macro="" textlink="">
          <xdr:nvSpPr>
            <xdr:cNvPr id="10246" name="Object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108</xdr:row>
          <xdr:rowOff>9525</xdr:rowOff>
        </xdr:from>
        <xdr:to>
          <xdr:col>1</xdr:col>
          <xdr:colOff>0</xdr:colOff>
          <xdr:row>110</xdr:row>
          <xdr:rowOff>9525</xdr:rowOff>
        </xdr:to>
        <xdr:sp macro="" textlink="">
          <xdr:nvSpPr>
            <xdr:cNvPr id="10249" name="Object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1609725</xdr:colOff>
          <xdr:row>107</xdr:row>
          <xdr:rowOff>114300</xdr:rowOff>
        </xdr:from>
        <xdr:to>
          <xdr:col>1</xdr:col>
          <xdr:colOff>476250</xdr:colOff>
          <xdr:row>111</xdr:row>
          <xdr:rowOff>0</xdr:rowOff>
        </xdr:to>
        <xdr:sp macro="" textlink="">
          <xdr:nvSpPr>
            <xdr:cNvPr id="10250" name="Object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9525</xdr:rowOff>
        </xdr:from>
        <xdr:to>
          <xdr:col>1</xdr:col>
          <xdr:colOff>0</xdr:colOff>
          <xdr:row>3</xdr:row>
          <xdr:rowOff>9525</xdr:rowOff>
        </xdr:to>
        <xdr:sp macro="" textlink="">
          <xdr:nvSpPr>
            <xdr:cNvPr id="10253" name="Object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1609725</xdr:colOff>
          <xdr:row>0</xdr:row>
          <xdr:rowOff>114300</xdr:rowOff>
        </xdr:from>
        <xdr:to>
          <xdr:col>1</xdr:col>
          <xdr:colOff>476250</xdr:colOff>
          <xdr:row>4</xdr:row>
          <xdr:rowOff>38100</xdr:rowOff>
        </xdr:to>
        <xdr:sp macro="" textlink="">
          <xdr:nvSpPr>
            <xdr:cNvPr id="10254" name="Object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omments" Target="../comments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7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6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1.bin"/><Relationship Id="rId3" Type="http://schemas.openxmlformats.org/officeDocument/2006/relationships/vmlDrawing" Target="../drawings/vmlDrawing5.vml"/><Relationship Id="rId7" Type="http://schemas.openxmlformats.org/officeDocument/2006/relationships/oleObject" Target="../embeddings/oleObject10.bin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9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13.bin"/><Relationship Id="rId4" Type="http://schemas.openxmlformats.org/officeDocument/2006/relationships/oleObject" Target="../embeddings/oleObject8.bin"/><Relationship Id="rId9" Type="http://schemas.openxmlformats.org/officeDocument/2006/relationships/oleObject" Target="../embeddings/oleObject1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7.bin"/><Relationship Id="rId3" Type="http://schemas.openxmlformats.org/officeDocument/2006/relationships/vmlDrawing" Target="../drawings/vmlDrawing6.vml"/><Relationship Id="rId7" Type="http://schemas.openxmlformats.org/officeDocument/2006/relationships/oleObject" Target="../embeddings/oleObject16.bin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15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19.bin"/><Relationship Id="rId4" Type="http://schemas.openxmlformats.org/officeDocument/2006/relationships/oleObject" Target="../embeddings/oleObject14.bin"/><Relationship Id="rId9" Type="http://schemas.openxmlformats.org/officeDocument/2006/relationships/oleObject" Target="../embeddings/oleObject18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.bin"/><Relationship Id="rId3" Type="http://schemas.openxmlformats.org/officeDocument/2006/relationships/vmlDrawing" Target="../drawings/vmlDrawing7.vml"/><Relationship Id="rId7" Type="http://schemas.openxmlformats.org/officeDocument/2006/relationships/oleObject" Target="../embeddings/oleObject22.bin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21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25.bin"/><Relationship Id="rId4" Type="http://schemas.openxmlformats.org/officeDocument/2006/relationships/oleObject" Target="../embeddings/oleObject20.bin"/><Relationship Id="rId9" Type="http://schemas.openxmlformats.org/officeDocument/2006/relationships/oleObject" Target="../embeddings/oleObject24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9.bin"/><Relationship Id="rId3" Type="http://schemas.openxmlformats.org/officeDocument/2006/relationships/vmlDrawing" Target="../drawings/vmlDrawing8.vml"/><Relationship Id="rId7" Type="http://schemas.openxmlformats.org/officeDocument/2006/relationships/oleObject" Target="../embeddings/oleObject28.bin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27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31.bin"/><Relationship Id="rId4" Type="http://schemas.openxmlformats.org/officeDocument/2006/relationships/oleObject" Target="../embeddings/oleObject26.bin"/><Relationship Id="rId9" Type="http://schemas.openxmlformats.org/officeDocument/2006/relationships/oleObject" Target="../embeddings/oleObject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FF0000"/>
  </sheetPr>
  <dimension ref="A1:A24"/>
  <sheetViews>
    <sheetView tabSelected="1" workbookViewId="0">
      <selection activeCell="E12" sqref="E12"/>
    </sheetView>
  </sheetViews>
  <sheetFormatPr baseColWidth="10" defaultRowHeight="14.25" x14ac:dyDescent="0.2"/>
  <cols>
    <col min="7" max="7" width="14.125" customWidth="1"/>
  </cols>
  <sheetData>
    <row r="1" spans="1:1" ht="18" x14ac:dyDescent="0.25">
      <c r="A1" s="324" t="s">
        <v>212</v>
      </c>
    </row>
    <row r="3" spans="1:1" x14ac:dyDescent="0.2">
      <c r="A3" t="s">
        <v>192</v>
      </c>
    </row>
    <row r="4" spans="1:1" x14ac:dyDescent="0.2">
      <c r="A4" t="s">
        <v>196</v>
      </c>
    </row>
    <row r="5" spans="1:1" x14ac:dyDescent="0.2">
      <c r="A5" t="s">
        <v>193</v>
      </c>
    </row>
    <row r="6" spans="1:1" x14ac:dyDescent="0.2">
      <c r="A6" t="s">
        <v>194</v>
      </c>
    </row>
    <row r="7" spans="1:1" x14ac:dyDescent="0.2">
      <c r="A7" t="s">
        <v>195</v>
      </c>
    </row>
    <row r="8" spans="1:1" x14ac:dyDescent="0.2">
      <c r="A8" t="s">
        <v>197</v>
      </c>
    </row>
    <row r="10" spans="1:1" x14ac:dyDescent="0.2">
      <c r="A10" t="s">
        <v>220</v>
      </c>
    </row>
    <row r="11" spans="1:1" x14ac:dyDescent="0.2">
      <c r="A11" t="s">
        <v>221</v>
      </c>
    </row>
    <row r="12" spans="1:1" x14ac:dyDescent="0.2">
      <c r="A12" t="s">
        <v>222</v>
      </c>
    </row>
    <row r="13" spans="1:1" x14ac:dyDescent="0.2">
      <c r="A13" t="s">
        <v>223</v>
      </c>
    </row>
    <row r="14" spans="1:1" x14ac:dyDescent="0.2">
      <c r="A14" t="s">
        <v>224</v>
      </c>
    </row>
    <row r="15" spans="1:1" x14ac:dyDescent="0.2">
      <c r="A15" t="s">
        <v>225</v>
      </c>
    </row>
    <row r="18" spans="1:1" ht="15" x14ac:dyDescent="0.25">
      <c r="A18" s="2" t="s">
        <v>199</v>
      </c>
    </row>
    <row r="19" spans="1:1" ht="15" x14ac:dyDescent="0.25">
      <c r="A19" s="2" t="s">
        <v>198</v>
      </c>
    </row>
    <row r="22" spans="1:1" x14ac:dyDescent="0.2">
      <c r="A22" t="s">
        <v>314</v>
      </c>
    </row>
    <row r="23" spans="1:1" ht="15" x14ac:dyDescent="0.25">
      <c r="A23" s="2"/>
    </row>
    <row r="24" spans="1:1" ht="15" x14ac:dyDescent="0.25">
      <c r="A24" s="2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tabColor rgb="FFFFFF00"/>
  </sheetPr>
  <dimension ref="A1:F51"/>
  <sheetViews>
    <sheetView zoomScaleNormal="100" workbookViewId="0">
      <selection activeCell="A15" sqref="A15"/>
    </sheetView>
  </sheetViews>
  <sheetFormatPr baseColWidth="10" defaultRowHeight="14.25" x14ac:dyDescent="0.2"/>
  <cols>
    <col min="1" max="1" width="28" customWidth="1"/>
    <col min="2" max="2" width="9.75" customWidth="1"/>
    <col min="3" max="3" width="12.5" customWidth="1"/>
    <col min="4" max="4" width="10.25" customWidth="1"/>
    <col min="5" max="5" width="11.25" customWidth="1"/>
    <col min="6" max="6" width="18.75" customWidth="1"/>
  </cols>
  <sheetData>
    <row r="1" spans="1:6" ht="15" x14ac:dyDescent="0.25">
      <c r="A1" s="267" t="s">
        <v>178</v>
      </c>
    </row>
    <row r="2" spans="1:6" ht="15" x14ac:dyDescent="0.25">
      <c r="A2" s="267" t="s">
        <v>179</v>
      </c>
    </row>
    <row r="4" spans="1:6" x14ac:dyDescent="0.2">
      <c r="A4" s="47" t="s">
        <v>107</v>
      </c>
      <c r="B4" s="508" t="s">
        <v>300</v>
      </c>
      <c r="C4" s="509"/>
      <c r="D4" s="510" t="s">
        <v>110</v>
      </c>
      <c r="E4" s="511"/>
      <c r="F4" s="268" t="s">
        <v>302</v>
      </c>
    </row>
    <row r="5" spans="1:6" x14ac:dyDescent="0.2">
      <c r="A5" s="47" t="s">
        <v>108</v>
      </c>
      <c r="B5" s="508" t="s">
        <v>301</v>
      </c>
      <c r="C5" s="509"/>
      <c r="D5" s="510" t="s">
        <v>111</v>
      </c>
      <c r="E5" s="511"/>
      <c r="F5" s="268" t="s">
        <v>303</v>
      </c>
    </row>
    <row r="6" spans="1:6" x14ac:dyDescent="0.2">
      <c r="A6" s="97" t="s">
        <v>109</v>
      </c>
      <c r="B6" s="517" t="s">
        <v>305</v>
      </c>
      <c r="C6" s="518"/>
      <c r="D6" s="510" t="s">
        <v>112</v>
      </c>
      <c r="E6" s="511"/>
      <c r="F6" s="268" t="s">
        <v>304</v>
      </c>
    </row>
    <row r="7" spans="1:6" x14ac:dyDescent="0.2">
      <c r="A7" s="95"/>
      <c r="B7" s="519"/>
      <c r="C7" s="520"/>
      <c r="D7" s="512" t="s">
        <v>311</v>
      </c>
      <c r="E7" s="513"/>
      <c r="F7" s="268">
        <v>12</v>
      </c>
    </row>
    <row r="8" spans="1:6" x14ac:dyDescent="0.2">
      <c r="A8" s="95"/>
      <c r="B8" s="519"/>
      <c r="C8" s="520"/>
      <c r="D8" s="510" t="s">
        <v>312</v>
      </c>
      <c r="E8" s="511"/>
      <c r="F8" s="269">
        <v>1</v>
      </c>
    </row>
    <row r="9" spans="1:6" x14ac:dyDescent="0.2">
      <c r="A9" s="95"/>
      <c r="B9" s="519"/>
      <c r="C9" s="520"/>
      <c r="D9" s="510" t="s">
        <v>313</v>
      </c>
      <c r="E9" s="511"/>
      <c r="F9" s="268">
        <f>F8-(F8*F10)</f>
        <v>0.9</v>
      </c>
    </row>
    <row r="10" spans="1:6" x14ac:dyDescent="0.2">
      <c r="A10" s="98"/>
      <c r="B10" s="521"/>
      <c r="C10" s="522"/>
      <c r="D10" s="510" t="s">
        <v>113</v>
      </c>
      <c r="E10" s="511"/>
      <c r="F10" s="270">
        <v>0.1</v>
      </c>
    </row>
    <row r="11" spans="1:6" x14ac:dyDescent="0.2">
      <c r="A11" s="52"/>
      <c r="B11" s="192"/>
      <c r="C11" s="192"/>
      <c r="D11" s="192"/>
      <c r="E11" s="192"/>
      <c r="F11" s="52"/>
    </row>
    <row r="12" spans="1:6" ht="20.25" x14ac:dyDescent="0.2">
      <c r="A12" s="514" t="s">
        <v>180</v>
      </c>
      <c r="B12" s="514"/>
      <c r="C12" s="514"/>
      <c r="D12" s="514"/>
      <c r="E12" s="514"/>
      <c r="F12" s="514"/>
    </row>
    <row r="14" spans="1:6" s="180" customFormat="1" ht="15.75" x14ac:dyDescent="0.25">
      <c r="A14" s="183" t="s">
        <v>121</v>
      </c>
      <c r="B14" s="184" t="s">
        <v>129</v>
      </c>
      <c r="C14" s="184" t="s">
        <v>99</v>
      </c>
      <c r="D14" s="184" t="s">
        <v>11</v>
      </c>
      <c r="E14" s="184" t="s">
        <v>149</v>
      </c>
      <c r="F14" s="184" t="s">
        <v>150</v>
      </c>
    </row>
    <row r="15" spans="1:6" x14ac:dyDescent="0.2">
      <c r="A15" s="277" t="s">
        <v>110</v>
      </c>
      <c r="B15" s="271">
        <v>5000</v>
      </c>
      <c r="C15" s="272">
        <v>0.45</v>
      </c>
      <c r="D15" s="198">
        <f>B15*C15</f>
        <v>2250</v>
      </c>
      <c r="E15" s="275">
        <f>F7</f>
        <v>12</v>
      </c>
      <c r="F15" s="193">
        <f>IF(D15&gt;0,D15/E15,0)</f>
        <v>187.5</v>
      </c>
    </row>
    <row r="16" spans="1:6" x14ac:dyDescent="0.2">
      <c r="A16" s="278" t="s">
        <v>130</v>
      </c>
      <c r="B16" s="273"/>
      <c r="C16" s="274"/>
      <c r="D16" s="199">
        <f t="shared" ref="D16:D31" si="0">B16*C16</f>
        <v>0</v>
      </c>
      <c r="E16" s="276"/>
      <c r="F16" s="194">
        <f t="shared" ref="F16:F31" si="1">IF(D16&gt;0,D16/E16,0)</f>
        <v>0</v>
      </c>
    </row>
    <row r="17" spans="1:6" x14ac:dyDescent="0.2">
      <c r="A17" s="278" t="s">
        <v>131</v>
      </c>
      <c r="B17" s="273"/>
      <c r="C17" s="274"/>
      <c r="D17" s="199">
        <f t="shared" si="0"/>
        <v>0</v>
      </c>
      <c r="E17" s="276"/>
      <c r="F17" s="194">
        <f t="shared" si="1"/>
        <v>0</v>
      </c>
    </row>
    <row r="18" spans="1:6" x14ac:dyDescent="0.2">
      <c r="A18" s="278" t="s">
        <v>132</v>
      </c>
      <c r="B18" s="273"/>
      <c r="C18" s="274"/>
      <c r="D18" s="199">
        <f t="shared" si="0"/>
        <v>0</v>
      </c>
      <c r="E18" s="276"/>
      <c r="F18" s="194">
        <f t="shared" si="1"/>
        <v>0</v>
      </c>
    </row>
    <row r="19" spans="1:6" x14ac:dyDescent="0.2">
      <c r="A19" s="278" t="s">
        <v>133</v>
      </c>
      <c r="B19" s="273"/>
      <c r="C19" s="274"/>
      <c r="D19" s="199">
        <f t="shared" si="0"/>
        <v>0</v>
      </c>
      <c r="E19" s="276"/>
      <c r="F19" s="194">
        <f t="shared" si="1"/>
        <v>0</v>
      </c>
    </row>
    <row r="20" spans="1:6" x14ac:dyDescent="0.2">
      <c r="A20" s="278" t="s">
        <v>124</v>
      </c>
      <c r="B20" s="273"/>
      <c r="C20" s="274"/>
      <c r="D20" s="199">
        <f t="shared" si="0"/>
        <v>0</v>
      </c>
      <c r="E20" s="276"/>
      <c r="F20" s="194">
        <f t="shared" si="1"/>
        <v>0</v>
      </c>
    </row>
    <row r="21" spans="1:6" x14ac:dyDescent="0.2">
      <c r="A21" s="278" t="s">
        <v>123</v>
      </c>
      <c r="B21" s="273"/>
      <c r="C21" s="274"/>
      <c r="D21" s="199">
        <f t="shared" si="0"/>
        <v>0</v>
      </c>
      <c r="E21" s="276"/>
      <c r="F21" s="194">
        <f t="shared" si="1"/>
        <v>0</v>
      </c>
    </row>
    <row r="22" spans="1:6" x14ac:dyDescent="0.2">
      <c r="A22" s="278" t="s">
        <v>122</v>
      </c>
      <c r="B22" s="273"/>
      <c r="C22" s="274"/>
      <c r="D22" s="199">
        <f t="shared" si="0"/>
        <v>0</v>
      </c>
      <c r="E22" s="276"/>
      <c r="F22" s="194">
        <f t="shared" si="1"/>
        <v>0</v>
      </c>
    </row>
    <row r="23" spans="1:6" x14ac:dyDescent="0.2">
      <c r="A23" s="278" t="s">
        <v>125</v>
      </c>
      <c r="B23" s="273"/>
      <c r="C23" s="274"/>
      <c r="D23" s="199">
        <f t="shared" si="0"/>
        <v>0</v>
      </c>
      <c r="E23" s="276"/>
      <c r="F23" s="194">
        <f t="shared" si="1"/>
        <v>0</v>
      </c>
    </row>
    <row r="24" spans="1:6" ht="13.9" x14ac:dyDescent="0.25">
      <c r="A24" s="278" t="s">
        <v>116</v>
      </c>
      <c r="B24" s="273"/>
      <c r="C24" s="274"/>
      <c r="D24" s="199">
        <f t="shared" si="0"/>
        <v>0</v>
      </c>
      <c r="E24" s="276">
        <f>F7</f>
        <v>12</v>
      </c>
      <c r="F24" s="194">
        <f t="shared" si="1"/>
        <v>0</v>
      </c>
    </row>
    <row r="25" spans="1:6" x14ac:dyDescent="0.2">
      <c r="A25" s="278" t="s">
        <v>134</v>
      </c>
      <c r="B25" s="273"/>
      <c r="C25" s="274"/>
      <c r="D25" s="199">
        <f t="shared" si="0"/>
        <v>0</v>
      </c>
      <c r="E25" s="276">
        <f>F7</f>
        <v>12</v>
      </c>
      <c r="F25" s="194">
        <f t="shared" si="1"/>
        <v>0</v>
      </c>
    </row>
    <row r="26" spans="1:6" x14ac:dyDescent="0.2">
      <c r="A26" s="278" t="s">
        <v>127</v>
      </c>
      <c r="B26" s="273"/>
      <c r="C26" s="274"/>
      <c r="D26" s="199">
        <f t="shared" si="0"/>
        <v>0</v>
      </c>
      <c r="E26" s="276"/>
      <c r="F26" s="194">
        <f t="shared" si="1"/>
        <v>0</v>
      </c>
    </row>
    <row r="27" spans="1:6" x14ac:dyDescent="0.2">
      <c r="A27" s="278" t="s">
        <v>126</v>
      </c>
      <c r="B27" s="273"/>
      <c r="C27" s="274"/>
      <c r="D27" s="199">
        <f t="shared" si="0"/>
        <v>0</v>
      </c>
      <c r="E27" s="276"/>
      <c r="F27" s="194">
        <f t="shared" si="1"/>
        <v>0</v>
      </c>
    </row>
    <row r="28" spans="1:6" x14ac:dyDescent="0.2">
      <c r="A28" s="278" t="s">
        <v>135</v>
      </c>
      <c r="B28" s="273">
        <v>1</v>
      </c>
      <c r="C28" s="274">
        <v>155</v>
      </c>
      <c r="D28" s="199">
        <f t="shared" si="0"/>
        <v>155</v>
      </c>
      <c r="E28" s="276">
        <f>F7</f>
        <v>12</v>
      </c>
      <c r="F28" s="194">
        <f t="shared" si="1"/>
        <v>12.916666666666666</v>
      </c>
    </row>
    <row r="29" spans="1:6" x14ac:dyDescent="0.2">
      <c r="A29" s="278" t="s">
        <v>142</v>
      </c>
      <c r="B29" s="273">
        <v>1</v>
      </c>
      <c r="C29" s="274">
        <v>692.38</v>
      </c>
      <c r="D29" s="199">
        <f t="shared" si="0"/>
        <v>692.38</v>
      </c>
      <c r="E29" s="276">
        <f>F7</f>
        <v>12</v>
      </c>
      <c r="F29" s="194">
        <f t="shared" si="1"/>
        <v>57.698333333333331</v>
      </c>
    </row>
    <row r="30" spans="1:6" x14ac:dyDescent="0.2">
      <c r="A30" s="278" t="s">
        <v>231</v>
      </c>
      <c r="B30" s="273"/>
      <c r="C30" s="274"/>
      <c r="D30" s="199">
        <f t="shared" si="0"/>
        <v>0</v>
      </c>
      <c r="E30" s="276">
        <f>F7</f>
        <v>12</v>
      </c>
      <c r="F30" s="194">
        <f t="shared" si="1"/>
        <v>0</v>
      </c>
    </row>
    <row r="31" spans="1:6" x14ac:dyDescent="0.2">
      <c r="A31" s="277" t="s">
        <v>155</v>
      </c>
      <c r="B31" s="271">
        <v>1</v>
      </c>
      <c r="C31" s="272">
        <v>734.8</v>
      </c>
      <c r="D31" s="198">
        <f t="shared" si="0"/>
        <v>734.8</v>
      </c>
      <c r="E31" s="275">
        <f>F7</f>
        <v>12</v>
      </c>
      <c r="F31" s="193">
        <f t="shared" si="1"/>
        <v>61.233333333333327</v>
      </c>
    </row>
    <row r="32" spans="1:6" ht="15" x14ac:dyDescent="0.25">
      <c r="A32" s="182" t="s">
        <v>136</v>
      </c>
      <c r="B32" s="188"/>
      <c r="C32" s="195"/>
      <c r="D32" s="200">
        <f>SUM(D15:D31)</f>
        <v>3832.1800000000003</v>
      </c>
      <c r="E32" s="188"/>
      <c r="F32" s="195">
        <f>SUM(F15:F31)</f>
        <v>319.34833333333336</v>
      </c>
    </row>
    <row r="34" spans="1:6" s="180" customFormat="1" ht="15.75" x14ac:dyDescent="0.25">
      <c r="A34" s="183" t="s">
        <v>144</v>
      </c>
      <c r="B34" s="191" t="s">
        <v>137</v>
      </c>
      <c r="C34" s="184" t="s">
        <v>151</v>
      </c>
      <c r="D34" s="184" t="s">
        <v>11</v>
      </c>
      <c r="E34" s="184" t="s">
        <v>149</v>
      </c>
      <c r="F34" s="184" t="s">
        <v>150</v>
      </c>
    </row>
    <row r="35" spans="1:6" x14ac:dyDescent="0.2">
      <c r="A35" s="277" t="s">
        <v>128</v>
      </c>
      <c r="B35" s="279">
        <v>16</v>
      </c>
      <c r="C35" s="280">
        <f>Ertragsgrenzen!$B$22</f>
        <v>25</v>
      </c>
      <c r="D35" s="201">
        <f>B35*C35</f>
        <v>400</v>
      </c>
      <c r="E35" s="275">
        <f>F7</f>
        <v>12</v>
      </c>
      <c r="F35" s="193">
        <f>IF(D35&gt;0,D35/E35,0)</f>
        <v>33.333333333333336</v>
      </c>
    </row>
    <row r="36" spans="1:6" x14ac:dyDescent="0.2">
      <c r="A36" s="278" t="s">
        <v>138</v>
      </c>
      <c r="B36" s="281"/>
      <c r="C36" s="282">
        <f>Ertragsgrenzen!$B$21</f>
        <v>14</v>
      </c>
      <c r="D36" s="202">
        <f t="shared" ref="D36:D40" si="2">B36*C36</f>
        <v>0</v>
      </c>
      <c r="E36" s="276">
        <f>F7</f>
        <v>12</v>
      </c>
      <c r="F36" s="194">
        <f t="shared" ref="F36:F40" si="3">IF(D36&gt;0,D36/E36,0)</f>
        <v>0</v>
      </c>
    </row>
    <row r="37" spans="1:6" x14ac:dyDescent="0.2">
      <c r="A37" s="278" t="s">
        <v>139</v>
      </c>
      <c r="B37" s="281"/>
      <c r="C37" s="282">
        <f>Ertragsgrenzen!$B$21</f>
        <v>14</v>
      </c>
      <c r="D37" s="202">
        <f t="shared" si="2"/>
        <v>0</v>
      </c>
      <c r="E37" s="275">
        <f>F7</f>
        <v>12</v>
      </c>
      <c r="F37" s="194">
        <f t="shared" si="3"/>
        <v>0</v>
      </c>
    </row>
    <row r="38" spans="1:6" x14ac:dyDescent="0.2">
      <c r="A38" s="278" t="s">
        <v>140</v>
      </c>
      <c r="B38" s="281"/>
      <c r="C38" s="282">
        <f>Ertragsgrenzen!$B$21</f>
        <v>14</v>
      </c>
      <c r="D38" s="202">
        <f t="shared" si="2"/>
        <v>0</v>
      </c>
      <c r="E38" s="276">
        <f>F7</f>
        <v>12</v>
      </c>
      <c r="F38" s="194">
        <f t="shared" si="3"/>
        <v>0</v>
      </c>
    </row>
    <row r="39" spans="1:6" x14ac:dyDescent="0.2">
      <c r="A39" s="278" t="s">
        <v>157</v>
      </c>
      <c r="B39" s="281">
        <v>25</v>
      </c>
      <c r="C39" s="282">
        <f>Ertragsgrenzen!$B$21</f>
        <v>14</v>
      </c>
      <c r="D39" s="202">
        <f t="shared" si="2"/>
        <v>350</v>
      </c>
      <c r="E39" s="275">
        <f>F7</f>
        <v>12</v>
      </c>
      <c r="F39" s="194">
        <f t="shared" si="3"/>
        <v>29.166666666666668</v>
      </c>
    </row>
    <row r="40" spans="1:6" x14ac:dyDescent="0.2">
      <c r="A40" s="277" t="s">
        <v>141</v>
      </c>
      <c r="B40" s="279">
        <v>94</v>
      </c>
      <c r="C40" s="280">
        <f>Ertragsgrenzen!$B$21</f>
        <v>14</v>
      </c>
      <c r="D40" s="201">
        <f t="shared" si="2"/>
        <v>1316</v>
      </c>
      <c r="E40" s="276">
        <f>F7</f>
        <v>12</v>
      </c>
      <c r="F40" s="193">
        <f t="shared" si="3"/>
        <v>109.66666666666667</v>
      </c>
    </row>
    <row r="41" spans="1:6" ht="15" x14ac:dyDescent="0.25">
      <c r="A41" s="182" t="s">
        <v>143</v>
      </c>
      <c r="B41" s="227">
        <f>SUM(B35:B40)</f>
        <v>135</v>
      </c>
      <c r="C41" s="186"/>
      <c r="D41" s="203">
        <f>SUM(D35:D40)</f>
        <v>2066</v>
      </c>
      <c r="E41" s="188"/>
      <c r="F41" s="195">
        <f>SUM(F35:F40)</f>
        <v>172.16666666666669</v>
      </c>
    </row>
    <row r="42" spans="1:6" ht="15" thickBot="1" x14ac:dyDescent="0.25"/>
    <row r="43" spans="1:6" ht="15.75" thickBot="1" x14ac:dyDescent="0.3">
      <c r="A43" s="182" t="s">
        <v>115</v>
      </c>
      <c r="B43" s="189"/>
      <c r="C43" s="190"/>
      <c r="D43" s="321">
        <v>600</v>
      </c>
      <c r="E43" s="320">
        <f>F7</f>
        <v>12</v>
      </c>
      <c r="F43" s="195">
        <f>IF(D43&gt;0,D43/E43,0)</f>
        <v>50</v>
      </c>
    </row>
    <row r="45" spans="1:6" s="180" customFormat="1" ht="15.75" x14ac:dyDescent="0.25">
      <c r="A45" s="183" t="s">
        <v>145</v>
      </c>
      <c r="B45" s="184" t="s">
        <v>137</v>
      </c>
      <c r="C45" s="184" t="s">
        <v>151</v>
      </c>
      <c r="D45" s="184" t="s">
        <v>11</v>
      </c>
      <c r="E45" s="184" t="s">
        <v>149</v>
      </c>
      <c r="F45" s="184" t="s">
        <v>150</v>
      </c>
    </row>
    <row r="46" spans="1:6" x14ac:dyDescent="0.2">
      <c r="A46" s="277" t="s">
        <v>156</v>
      </c>
      <c r="B46" s="275">
        <v>1</v>
      </c>
      <c r="C46" s="272">
        <v>162.25</v>
      </c>
      <c r="D46" s="204">
        <f>B46*C46</f>
        <v>162.25</v>
      </c>
      <c r="E46" s="275">
        <f>F7</f>
        <v>12</v>
      </c>
      <c r="F46" s="197">
        <f>IF(D46&gt;0,D46/E46,0)</f>
        <v>13.520833333333334</v>
      </c>
    </row>
    <row r="47" spans="1:6" x14ac:dyDescent="0.2">
      <c r="A47" s="283" t="s">
        <v>146</v>
      </c>
      <c r="B47" s="284">
        <v>10</v>
      </c>
      <c r="C47" s="285">
        <f>Ertragsgrenzen!$B$21</f>
        <v>14</v>
      </c>
      <c r="D47" s="198">
        <f>B47*C47</f>
        <v>140</v>
      </c>
      <c r="E47" s="284">
        <f>F7</f>
        <v>12</v>
      </c>
      <c r="F47" s="205">
        <f>IF(D47&gt;0,D47/E47,0)</f>
        <v>11.666666666666666</v>
      </c>
    </row>
    <row r="48" spans="1:6" ht="15" x14ac:dyDescent="0.25">
      <c r="A48" s="182" t="s">
        <v>147</v>
      </c>
      <c r="B48" s="188">
        <f>SUM(B46:B47)</f>
        <v>11</v>
      </c>
      <c r="C48" s="195"/>
      <c r="D48" s="200">
        <f>SUM(D46:D47)</f>
        <v>302.25</v>
      </c>
      <c r="E48" s="188"/>
      <c r="F48" s="195">
        <f>SUM(F46:F47)</f>
        <v>25.1875</v>
      </c>
    </row>
    <row r="50" spans="1:6" ht="15" thickBot="1" x14ac:dyDescent="0.25"/>
    <row r="51" spans="1:6" ht="18.75" thickBot="1" x14ac:dyDescent="0.3">
      <c r="A51" s="185" t="s">
        <v>148</v>
      </c>
      <c r="B51" s="228">
        <f>SUM(B47+B41)</f>
        <v>145</v>
      </c>
      <c r="C51" s="515">
        <f>SUM(D48+D43+D41+D32)</f>
        <v>6800.43</v>
      </c>
      <c r="D51" s="516"/>
      <c r="E51" s="187"/>
      <c r="F51" s="196">
        <f>SUM(F48+F43+F41+F32)</f>
        <v>566.7025000000001</v>
      </c>
    </row>
  </sheetData>
  <sheetProtection password="DC5E" sheet="1" objects="1" scenarios="1" selectLockedCells="1"/>
  <mergeCells count="12">
    <mergeCell ref="D10:E10"/>
    <mergeCell ref="A12:F12"/>
    <mergeCell ref="C51:D51"/>
    <mergeCell ref="B6:C10"/>
    <mergeCell ref="B5:C5"/>
    <mergeCell ref="D9:E9"/>
    <mergeCell ref="B4:C4"/>
    <mergeCell ref="D8:E8"/>
    <mergeCell ref="D7:E7"/>
    <mergeCell ref="D6:E6"/>
    <mergeCell ref="D5:E5"/>
    <mergeCell ref="D4:E4"/>
  </mergeCells>
  <pageMargins left="0.70866141732283461" right="0.70866141732283461" top="0.47244094488188976" bottom="0.47244094488188976" header="0" footer="0.31496062992125984"/>
  <pageSetup paperSize="9" scale="85" orientation="portrait" verticalDpi="0" r:id="rId1"/>
  <ignoredErrors>
    <ignoredError sqref="E15:E31 C35:C40 C47 E35:E40 E46:E47 F9" unlocked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0</xdr:col>
                <xdr:colOff>1485900</xdr:colOff>
                <xdr:row>0</xdr:row>
                <xdr:rowOff>9525</xdr:rowOff>
              </from>
              <to>
                <xdr:col>0</xdr:col>
                <xdr:colOff>2124075</xdr:colOff>
                <xdr:row>2</xdr:row>
                <xdr:rowOff>9525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tabColor rgb="FFFFFF00"/>
  </sheetPr>
  <dimension ref="A1:J54"/>
  <sheetViews>
    <sheetView zoomScaleNormal="100" workbookViewId="0">
      <selection activeCell="F10" sqref="F10"/>
    </sheetView>
  </sheetViews>
  <sheetFormatPr baseColWidth="10" defaultRowHeight="14.25" x14ac:dyDescent="0.2"/>
  <cols>
    <col min="1" max="1" width="13.875" customWidth="1"/>
    <col min="3" max="3" width="11.25" customWidth="1"/>
    <col min="4" max="4" width="12.25" customWidth="1"/>
    <col min="5" max="5" width="13.375" customWidth="1"/>
    <col min="6" max="6" width="17.25" customWidth="1"/>
    <col min="8" max="8" width="12.75" customWidth="1"/>
    <col min="9" max="9" width="13.625" customWidth="1"/>
  </cols>
  <sheetData>
    <row r="1" spans="1:6" ht="15" x14ac:dyDescent="0.25">
      <c r="A1" s="267" t="s">
        <v>178</v>
      </c>
    </row>
    <row r="2" spans="1:6" ht="15" x14ac:dyDescent="0.25">
      <c r="A2" s="267" t="s">
        <v>179</v>
      </c>
    </row>
    <row r="4" spans="1:6" x14ac:dyDescent="0.2">
      <c r="A4" s="47" t="s">
        <v>107</v>
      </c>
      <c r="B4" s="540" t="str">
        <f>'Investitionskosten Anlage'!B4:C4</f>
        <v>Schwarze Johannisbeeren</v>
      </c>
      <c r="C4" s="541"/>
      <c r="D4" s="510" t="s">
        <v>111</v>
      </c>
      <c r="E4" s="511"/>
      <c r="F4" s="179" t="str">
        <f>'Investitionskosten Anlage'!F5</f>
        <v>3,50m</v>
      </c>
    </row>
    <row r="5" spans="1:6" ht="13.9" customHeight="1" x14ac:dyDescent="0.2">
      <c r="A5" s="47" t="s">
        <v>108</v>
      </c>
      <c r="B5" s="540" t="str">
        <f>'Investitionskosten Anlage'!B5:C5</f>
        <v>Ben Alder</v>
      </c>
      <c r="C5" s="541"/>
      <c r="D5" s="510" t="s">
        <v>112</v>
      </c>
      <c r="E5" s="511"/>
      <c r="F5" s="179" t="str">
        <f>'Investitionskosten Anlage'!F6</f>
        <v>0,5m</v>
      </c>
    </row>
    <row r="6" spans="1:6" x14ac:dyDescent="0.2">
      <c r="A6" s="97" t="s">
        <v>109</v>
      </c>
      <c r="B6" s="542" t="str">
        <f>'Investitionskosten Anlage'!B6:C10</f>
        <v>Freiland, Industrieware</v>
      </c>
      <c r="C6" s="543"/>
      <c r="D6" s="512" t="s">
        <v>311</v>
      </c>
      <c r="E6" s="513"/>
      <c r="F6" s="179">
        <f>'Investitionskosten Anlage'!F7</f>
        <v>12</v>
      </c>
    </row>
    <row r="7" spans="1:6" x14ac:dyDescent="0.2">
      <c r="A7" s="95"/>
      <c r="B7" s="544"/>
      <c r="C7" s="545"/>
      <c r="D7" s="510" t="s">
        <v>312</v>
      </c>
      <c r="E7" s="511"/>
      <c r="F7" s="230">
        <f>'Investitionskosten Anlage'!F8</f>
        <v>1</v>
      </c>
    </row>
    <row r="8" spans="1:6" x14ac:dyDescent="0.2">
      <c r="A8" s="95"/>
      <c r="B8" s="544"/>
      <c r="C8" s="545"/>
      <c r="D8" s="510" t="s">
        <v>313</v>
      </c>
      <c r="E8" s="511"/>
      <c r="F8" s="179">
        <f>'Investitionskosten Anlage'!F9</f>
        <v>0.9</v>
      </c>
    </row>
    <row r="9" spans="1:6" x14ac:dyDescent="0.2">
      <c r="A9" s="95"/>
      <c r="B9" s="544"/>
      <c r="C9" s="545"/>
      <c r="D9" s="510" t="s">
        <v>113</v>
      </c>
      <c r="E9" s="511"/>
      <c r="F9" s="172">
        <f>'Investitionskosten Anlage'!F10</f>
        <v>0.1</v>
      </c>
    </row>
    <row r="10" spans="1:6" x14ac:dyDescent="0.2">
      <c r="A10" s="98"/>
      <c r="B10" s="546"/>
      <c r="C10" s="547"/>
      <c r="D10" s="548" t="s">
        <v>184</v>
      </c>
      <c r="E10" s="549"/>
      <c r="F10" s="268">
        <v>2500</v>
      </c>
    </row>
    <row r="11" spans="1:6" x14ac:dyDescent="0.2">
      <c r="A11" s="47" t="s">
        <v>152</v>
      </c>
      <c r="B11" s="551">
        <v>7500</v>
      </c>
      <c r="C11" s="552"/>
      <c r="D11" s="553" t="s">
        <v>185</v>
      </c>
      <c r="E11" s="513"/>
      <c r="F11" s="322">
        <f>IF(F10&gt;0,B11/F10,0)</f>
        <v>3</v>
      </c>
    </row>
    <row r="13" spans="1:6" ht="21" x14ac:dyDescent="0.4">
      <c r="A13" s="550" t="s">
        <v>168</v>
      </c>
      <c r="B13" s="550"/>
      <c r="C13" s="550"/>
      <c r="D13" s="550"/>
      <c r="E13" s="550"/>
      <c r="F13" s="550"/>
    </row>
    <row r="14" spans="1:6" ht="13.9" x14ac:dyDescent="0.25">
      <c r="F14" s="174"/>
    </row>
    <row r="15" spans="1:6" x14ac:dyDescent="0.2">
      <c r="A15" s="525" t="s">
        <v>169</v>
      </c>
      <c r="B15" s="525"/>
      <c r="C15" s="525"/>
      <c r="D15" s="525"/>
      <c r="E15" s="525"/>
      <c r="F15" s="525"/>
    </row>
    <row r="16" spans="1:6" ht="15.6" x14ac:dyDescent="0.3">
      <c r="A16" s="536"/>
      <c r="B16" s="537"/>
      <c r="C16" s="191" t="s">
        <v>129</v>
      </c>
      <c r="D16" s="191" t="s">
        <v>114</v>
      </c>
      <c r="E16" s="184" t="s">
        <v>11</v>
      </c>
      <c r="F16" s="191" t="s">
        <v>117</v>
      </c>
    </row>
    <row r="17" spans="1:6" x14ac:dyDescent="0.2">
      <c r="A17" s="538" t="s">
        <v>153</v>
      </c>
      <c r="B17" s="539"/>
      <c r="C17" s="539"/>
      <c r="D17" s="209"/>
      <c r="E17" s="214">
        <f>'Investitionskosten Anlage'!F51</f>
        <v>566.7025000000001</v>
      </c>
      <c r="F17" s="211">
        <f>IF(B$11&gt;0,E17/B$11,0)</f>
        <v>7.556033333333334E-2</v>
      </c>
    </row>
    <row r="18" spans="1:6" ht="13.9" x14ac:dyDescent="0.25">
      <c r="A18" s="523" t="s">
        <v>115</v>
      </c>
      <c r="B18" s="524"/>
      <c r="C18" s="281">
        <f>F7</f>
        <v>1</v>
      </c>
      <c r="D18" s="286">
        <f>'Investitionskosten Anlage'!D43</f>
        <v>600</v>
      </c>
      <c r="E18" s="199">
        <f>C18*D18</f>
        <v>600</v>
      </c>
      <c r="F18" s="194">
        <f t="shared" ref="F18:F34" si="0">IF(B$11&gt;0,E18/B$11,0)</f>
        <v>0.08</v>
      </c>
    </row>
    <row r="19" spans="1:6" x14ac:dyDescent="0.2">
      <c r="A19" s="523" t="s">
        <v>190</v>
      </c>
      <c r="B19" s="524"/>
      <c r="C19" s="281">
        <v>1</v>
      </c>
      <c r="D19" s="286">
        <v>256</v>
      </c>
      <c r="E19" s="199">
        <f t="shared" ref="E19:E32" si="1">C19*D19</f>
        <v>256</v>
      </c>
      <c r="F19" s="194">
        <f t="shared" si="0"/>
        <v>3.4133333333333335E-2</v>
      </c>
    </row>
    <row r="20" spans="1:6" ht="13.9" x14ac:dyDescent="0.25">
      <c r="A20" s="523" t="s">
        <v>191</v>
      </c>
      <c r="B20" s="524"/>
      <c r="C20" s="281">
        <v>1</v>
      </c>
      <c r="D20" s="286">
        <v>579.32000000000005</v>
      </c>
      <c r="E20" s="199">
        <f t="shared" si="1"/>
        <v>579.32000000000005</v>
      </c>
      <c r="F20" s="194">
        <f t="shared" si="0"/>
        <v>7.7242666666666668E-2</v>
      </c>
    </row>
    <row r="21" spans="1:6" x14ac:dyDescent="0.2">
      <c r="A21" s="523" t="s">
        <v>230</v>
      </c>
      <c r="B21" s="524"/>
      <c r="C21" s="281"/>
      <c r="D21" s="286"/>
      <c r="E21" s="199">
        <f t="shared" si="1"/>
        <v>0</v>
      </c>
      <c r="F21" s="194">
        <f t="shared" si="0"/>
        <v>0</v>
      </c>
    </row>
    <row r="22" spans="1:6" x14ac:dyDescent="0.2">
      <c r="A22" s="523" t="s">
        <v>154</v>
      </c>
      <c r="B22" s="524"/>
      <c r="C22" s="281"/>
      <c r="D22" s="286"/>
      <c r="E22" s="199">
        <f t="shared" si="1"/>
        <v>0</v>
      </c>
      <c r="F22" s="194">
        <f t="shared" si="0"/>
        <v>0</v>
      </c>
    </row>
    <row r="23" spans="1:6" ht="13.9" x14ac:dyDescent="0.25">
      <c r="A23" s="523" t="s">
        <v>156</v>
      </c>
      <c r="B23" s="524"/>
      <c r="C23" s="281">
        <v>1</v>
      </c>
      <c r="D23" s="286">
        <v>515.04999999999995</v>
      </c>
      <c r="E23" s="199">
        <f t="shared" si="1"/>
        <v>515.04999999999995</v>
      </c>
      <c r="F23" s="194">
        <f t="shared" si="0"/>
        <v>6.8673333333333322E-2</v>
      </c>
    </row>
    <row r="24" spans="1:6" x14ac:dyDescent="0.2">
      <c r="A24" s="523" t="s">
        <v>200</v>
      </c>
      <c r="B24" s="524"/>
      <c r="C24" s="281"/>
      <c r="D24" s="286"/>
      <c r="E24" s="199">
        <f t="shared" si="1"/>
        <v>0</v>
      </c>
      <c r="F24" s="194">
        <f t="shared" si="0"/>
        <v>0</v>
      </c>
    </row>
    <row r="25" spans="1:6" x14ac:dyDescent="0.2">
      <c r="A25" s="523" t="s">
        <v>201</v>
      </c>
      <c r="B25" s="524"/>
      <c r="C25" s="281"/>
      <c r="D25" s="286">
        <f>Ertragsgrenzen!$B$21</f>
        <v>14</v>
      </c>
      <c r="E25" s="199">
        <f t="shared" si="1"/>
        <v>0</v>
      </c>
      <c r="F25" s="194">
        <f t="shared" si="0"/>
        <v>0</v>
      </c>
    </row>
    <row r="26" spans="1:6" x14ac:dyDescent="0.2">
      <c r="A26" s="523" t="s">
        <v>202</v>
      </c>
      <c r="B26" s="524"/>
      <c r="C26" s="281">
        <v>8</v>
      </c>
      <c r="D26" s="286">
        <f>Ertragsgrenzen!$B$21</f>
        <v>14</v>
      </c>
      <c r="E26" s="199">
        <f t="shared" si="1"/>
        <v>112</v>
      </c>
      <c r="F26" s="194">
        <f t="shared" si="0"/>
        <v>1.4933333333333333E-2</v>
      </c>
    </row>
    <row r="27" spans="1:6" x14ac:dyDescent="0.2">
      <c r="A27" s="523" t="s">
        <v>203</v>
      </c>
      <c r="B27" s="524"/>
      <c r="C27" s="281">
        <v>5</v>
      </c>
      <c r="D27" s="286">
        <f>Ertragsgrenzen!$B$22</f>
        <v>25</v>
      </c>
      <c r="E27" s="199">
        <f t="shared" si="1"/>
        <v>125</v>
      </c>
      <c r="F27" s="194">
        <f t="shared" si="0"/>
        <v>1.6666666666666666E-2</v>
      </c>
    </row>
    <row r="28" spans="1:6" x14ac:dyDescent="0.2">
      <c r="A28" s="523" t="s">
        <v>204</v>
      </c>
      <c r="B28" s="524"/>
      <c r="C28" s="281"/>
      <c r="D28" s="286">
        <f>Ertragsgrenzen!$B$21</f>
        <v>14</v>
      </c>
      <c r="E28" s="199">
        <f t="shared" si="1"/>
        <v>0</v>
      </c>
      <c r="F28" s="194">
        <f t="shared" si="0"/>
        <v>0</v>
      </c>
    </row>
    <row r="29" spans="1:6" x14ac:dyDescent="0.2">
      <c r="A29" s="523" t="s">
        <v>205</v>
      </c>
      <c r="B29" s="524"/>
      <c r="C29" s="281">
        <v>20.5</v>
      </c>
      <c r="D29" s="286">
        <f>Ertragsgrenzen!$B$22</f>
        <v>25</v>
      </c>
      <c r="E29" s="199">
        <f t="shared" si="1"/>
        <v>512.5</v>
      </c>
      <c r="F29" s="194">
        <f t="shared" si="0"/>
        <v>6.8333333333333329E-2</v>
      </c>
    </row>
    <row r="30" spans="1:6" x14ac:dyDescent="0.2">
      <c r="A30" s="523" t="s">
        <v>206</v>
      </c>
      <c r="B30" s="524"/>
      <c r="C30" s="281"/>
      <c r="D30" s="286">
        <f>Ertragsgrenzen!$B$21</f>
        <v>14</v>
      </c>
      <c r="E30" s="199">
        <f t="shared" si="1"/>
        <v>0</v>
      </c>
      <c r="F30" s="194">
        <f t="shared" si="0"/>
        <v>0</v>
      </c>
    </row>
    <row r="31" spans="1:6" x14ac:dyDescent="0.2">
      <c r="A31" s="523" t="s">
        <v>207</v>
      </c>
      <c r="B31" s="524"/>
      <c r="C31" s="281"/>
      <c r="D31" s="286">
        <f>Ertragsgrenzen!$B$21</f>
        <v>14</v>
      </c>
      <c r="E31" s="199">
        <f t="shared" si="1"/>
        <v>0</v>
      </c>
      <c r="F31" s="194">
        <f t="shared" si="0"/>
        <v>0</v>
      </c>
    </row>
    <row r="32" spans="1:6" x14ac:dyDescent="0.2">
      <c r="A32" s="523" t="s">
        <v>208</v>
      </c>
      <c r="B32" s="524"/>
      <c r="C32" s="287"/>
      <c r="D32" s="286">
        <f>Ertragsgrenzen!$B$21</f>
        <v>14</v>
      </c>
      <c r="E32" s="199">
        <f t="shared" si="1"/>
        <v>0</v>
      </c>
      <c r="F32" s="194">
        <f t="shared" si="0"/>
        <v>0</v>
      </c>
    </row>
    <row r="33" spans="1:10" x14ac:dyDescent="0.2">
      <c r="A33" s="534" t="s">
        <v>177</v>
      </c>
      <c r="B33" s="535"/>
      <c r="C33" s="527"/>
      <c r="D33" s="288">
        <v>0.02</v>
      </c>
      <c r="E33" s="193">
        <f>(SUM('Investitionskosten Anlage'!D16:D22)+SUM('Investitionskosten Anlage'!D27:D28))*'Einzelkosten Vollertrag'!D33</f>
        <v>3.1</v>
      </c>
      <c r="F33" s="193">
        <f t="shared" si="0"/>
        <v>4.1333333333333337E-4</v>
      </c>
    </row>
    <row r="34" spans="1:10" ht="15" x14ac:dyDescent="0.25">
      <c r="A34" s="530" t="s">
        <v>158</v>
      </c>
      <c r="B34" s="531"/>
      <c r="C34" s="531"/>
      <c r="D34" s="207"/>
      <c r="E34" s="200">
        <f>SUM(E17:E33)</f>
        <v>3269.6725000000001</v>
      </c>
      <c r="F34" s="195">
        <f t="shared" si="0"/>
        <v>0.43595633333333333</v>
      </c>
    </row>
    <row r="35" spans="1:10" x14ac:dyDescent="0.2">
      <c r="A35" s="173"/>
      <c r="B35" s="173"/>
    </row>
    <row r="36" spans="1:10" x14ac:dyDescent="0.2">
      <c r="A36" s="525" t="s">
        <v>170</v>
      </c>
      <c r="B36" s="525"/>
      <c r="C36" s="525"/>
      <c r="D36" s="525"/>
      <c r="E36" s="525"/>
      <c r="F36" s="525"/>
    </row>
    <row r="37" spans="1:10" ht="16.5" thickBot="1" x14ac:dyDescent="0.3">
      <c r="A37" s="206"/>
      <c r="B37" s="191"/>
      <c r="C37" s="184" t="s">
        <v>129</v>
      </c>
      <c r="D37" s="191" t="s">
        <v>114</v>
      </c>
      <c r="E37" s="184" t="s">
        <v>11</v>
      </c>
      <c r="F37" s="184" t="s">
        <v>117</v>
      </c>
    </row>
    <row r="38" spans="1:10" ht="15.75" thickBot="1" x14ac:dyDescent="0.3">
      <c r="A38" s="532" t="s">
        <v>209</v>
      </c>
      <c r="B38" s="533"/>
      <c r="C38" s="271">
        <v>2</v>
      </c>
      <c r="D38" s="286">
        <f>Ertragsgrenzen!$B$22</f>
        <v>25</v>
      </c>
      <c r="E38" s="198">
        <f>C38*D38</f>
        <v>50</v>
      </c>
      <c r="F38" s="193">
        <f>IF(B$11&gt;0,E38/B$11,0)</f>
        <v>6.6666666666666671E-3</v>
      </c>
      <c r="H38" s="317" t="s">
        <v>181</v>
      </c>
      <c r="I38" s="318"/>
      <c r="J38" s="319"/>
    </row>
    <row r="39" spans="1:10" ht="15" thickBot="1" x14ac:dyDescent="0.25">
      <c r="A39" s="523" t="s">
        <v>210</v>
      </c>
      <c r="B39" s="524"/>
      <c r="C39" s="273">
        <v>5</v>
      </c>
      <c r="D39" s="286">
        <f>Ertragsgrenzen!$B$22</f>
        <v>25</v>
      </c>
      <c r="E39" s="199">
        <f t="shared" ref="E39:E44" si="2">C39*D39</f>
        <v>125</v>
      </c>
      <c r="F39" s="194">
        <f t="shared" ref="F39:F45" si="3">IF(B$11&gt;0,E39/B$11,0)</f>
        <v>1.6666666666666666E-2</v>
      </c>
    </row>
    <row r="40" spans="1:10" ht="15.75" thickBot="1" x14ac:dyDescent="0.3">
      <c r="A40" s="523" t="s">
        <v>189</v>
      </c>
      <c r="B40" s="524"/>
      <c r="C40" s="273">
        <f>B11*J42</f>
        <v>0</v>
      </c>
      <c r="D40" s="286">
        <v>0.04</v>
      </c>
      <c r="E40" s="199">
        <f t="shared" si="2"/>
        <v>0</v>
      </c>
      <c r="F40" s="194">
        <f t="shared" si="3"/>
        <v>0</v>
      </c>
      <c r="H40" s="317" t="s">
        <v>182</v>
      </c>
      <c r="I40" s="318"/>
      <c r="J40" s="319"/>
    </row>
    <row r="41" spans="1:10" ht="15" thickBot="1" x14ac:dyDescent="0.25">
      <c r="A41" s="523" t="s">
        <v>187</v>
      </c>
      <c r="B41" s="524"/>
      <c r="C41" s="273">
        <f>B11*J42</f>
        <v>0</v>
      </c>
      <c r="D41" s="486">
        <f>IF(C41&gt;0,SUM(Deckungsbeitrag!F25:F26)/C41,0)</f>
        <v>0</v>
      </c>
      <c r="E41" s="199">
        <f t="shared" si="2"/>
        <v>0</v>
      </c>
      <c r="F41" s="194">
        <f t="shared" si="3"/>
        <v>0</v>
      </c>
    </row>
    <row r="42" spans="1:10" ht="15.75" thickBot="1" x14ac:dyDescent="0.3">
      <c r="A42" s="523" t="s">
        <v>188</v>
      </c>
      <c r="B42" s="524"/>
      <c r="C42" s="273">
        <f>B11</f>
        <v>7500</v>
      </c>
      <c r="D42" s="286">
        <v>0.05</v>
      </c>
      <c r="E42" s="199">
        <f t="shared" si="2"/>
        <v>375</v>
      </c>
      <c r="F42" s="194">
        <f t="shared" si="3"/>
        <v>0.05</v>
      </c>
      <c r="H42" s="317" t="s">
        <v>183</v>
      </c>
      <c r="I42" s="318"/>
      <c r="J42" s="319"/>
    </row>
    <row r="43" spans="1:10" x14ac:dyDescent="0.2">
      <c r="A43" s="523" t="s">
        <v>104</v>
      </c>
      <c r="B43" s="524"/>
      <c r="C43" s="273"/>
      <c r="D43" s="286"/>
      <c r="E43" s="199">
        <f t="shared" si="2"/>
        <v>0</v>
      </c>
      <c r="F43" s="194">
        <f t="shared" si="3"/>
        <v>0</v>
      </c>
    </row>
    <row r="44" spans="1:10" x14ac:dyDescent="0.2">
      <c r="A44" s="526" t="s">
        <v>156</v>
      </c>
      <c r="B44" s="527"/>
      <c r="C44" s="290">
        <v>1</v>
      </c>
      <c r="D44" s="289">
        <v>780.6</v>
      </c>
      <c r="E44" s="198">
        <f t="shared" si="2"/>
        <v>780.6</v>
      </c>
      <c r="F44" s="193">
        <f t="shared" si="3"/>
        <v>0.10408000000000001</v>
      </c>
    </row>
    <row r="45" spans="1:10" ht="15" x14ac:dyDescent="0.25">
      <c r="A45" s="530" t="s">
        <v>159</v>
      </c>
      <c r="B45" s="531"/>
      <c r="C45" s="531"/>
      <c r="D45" s="210"/>
      <c r="E45" s="200">
        <f>SUM(E38:E44)</f>
        <v>1330.6</v>
      </c>
      <c r="F45" s="195">
        <f t="shared" si="3"/>
        <v>0.17741333333333331</v>
      </c>
    </row>
    <row r="47" spans="1:10" ht="15" thickBot="1" x14ac:dyDescent="0.25"/>
    <row r="48" spans="1:10" ht="18.75" thickBot="1" x14ac:dyDescent="0.3">
      <c r="A48" s="528" t="s">
        <v>171</v>
      </c>
      <c r="B48" s="529"/>
      <c r="C48" s="529"/>
      <c r="D48" s="208"/>
      <c r="E48" s="213">
        <f>SUM(E45+E34)</f>
        <v>4600.2725</v>
      </c>
      <c r="F48" s="212">
        <f>IF(B$11&gt;0,E48/B$11,0)</f>
        <v>0.6133696666666667</v>
      </c>
    </row>
    <row r="50" spans="1:6" x14ac:dyDescent="0.2">
      <c r="A50" s="525" t="s">
        <v>46</v>
      </c>
      <c r="B50" s="525"/>
      <c r="C50" s="525"/>
      <c r="D50" s="525"/>
      <c r="E50" s="525"/>
      <c r="F50" s="525"/>
    </row>
    <row r="51" spans="1:6" ht="28.5" x14ac:dyDescent="0.2">
      <c r="A51" s="47"/>
      <c r="B51" s="223" t="s">
        <v>161</v>
      </c>
      <c r="C51" s="223" t="s">
        <v>11</v>
      </c>
      <c r="D51" s="229" t="s">
        <v>163</v>
      </c>
      <c r="E51" s="229" t="s">
        <v>162</v>
      </c>
      <c r="F51" s="229" t="s">
        <v>310</v>
      </c>
    </row>
    <row r="52" spans="1:6" x14ac:dyDescent="0.2">
      <c r="A52" s="95" t="s">
        <v>160</v>
      </c>
      <c r="B52" s="275">
        <v>9</v>
      </c>
      <c r="C52" s="215">
        <f>E48</f>
        <v>4600.2725</v>
      </c>
      <c r="D52" s="218">
        <f>F48</f>
        <v>0.6133696666666667</v>
      </c>
      <c r="E52" s="218">
        <f>F45</f>
        <v>0.17741333333333331</v>
      </c>
      <c r="F52" s="218">
        <f>E34</f>
        <v>3269.6725000000001</v>
      </c>
    </row>
    <row r="53" spans="1:6" x14ac:dyDescent="0.2">
      <c r="A53" s="95" t="s">
        <v>19</v>
      </c>
      <c r="B53" s="275">
        <v>2</v>
      </c>
      <c r="C53" s="216">
        <f>'Einzelkosten Junganlage'!E48</f>
        <v>4235.8125</v>
      </c>
      <c r="D53" s="218">
        <f>'Einzelkosten Junganlage'!F48</f>
        <v>1.4119375000000001</v>
      </c>
      <c r="E53" s="218">
        <f>'Einzelkosten Junganlage'!F45</f>
        <v>0.31853333333333333</v>
      </c>
      <c r="F53" s="218">
        <f>'Einzelkosten Junganlage'!E34</f>
        <v>3280.2125000000001</v>
      </c>
    </row>
    <row r="54" spans="1:6" ht="15.75" x14ac:dyDescent="0.25">
      <c r="A54" s="222" t="s">
        <v>52</v>
      </c>
      <c r="B54" s="219">
        <f>SUM(B52:B53)</f>
        <v>11</v>
      </c>
      <c r="C54" s="220">
        <f>IF(B54&gt;0,(C52*B52+C53*B53)/B54,0)</f>
        <v>4534.0070454545457</v>
      </c>
      <c r="D54" s="226">
        <f>IF(B54&gt;0,(D52*B52+D53*B53)/B54,0)</f>
        <v>0.75856381818181806</v>
      </c>
      <c r="E54" s="221">
        <f>IF(B54&gt;0,(E52*B52+E53*B53)/B54,0)</f>
        <v>0.20307151515151514</v>
      </c>
      <c r="F54" s="221">
        <f>IF(B54&gt;0,(F52*B52+F53*B53)/B54,0)</f>
        <v>3271.5888636363638</v>
      </c>
    </row>
  </sheetData>
  <sheetProtection password="DC5E" sheet="1" objects="1" scenarios="1" selectLockedCells="1"/>
  <mergeCells count="44">
    <mergeCell ref="A13:F13"/>
    <mergeCell ref="A15:F15"/>
    <mergeCell ref="A18:B18"/>
    <mergeCell ref="B11:C11"/>
    <mergeCell ref="D11:E11"/>
    <mergeCell ref="B4:C4"/>
    <mergeCell ref="D4:E4"/>
    <mergeCell ref="B5:C5"/>
    <mergeCell ref="D5:E5"/>
    <mergeCell ref="B6:C10"/>
    <mergeCell ref="D6:E6"/>
    <mergeCell ref="D7:E7"/>
    <mergeCell ref="D8:E8"/>
    <mergeCell ref="D9:E9"/>
    <mergeCell ref="D10:E10"/>
    <mergeCell ref="A19:B19"/>
    <mergeCell ref="A16:B16"/>
    <mergeCell ref="A17:C17"/>
    <mergeCell ref="A36:F36"/>
    <mergeCell ref="A34:C34"/>
    <mergeCell ref="A20:B20"/>
    <mergeCell ref="A21:B21"/>
    <mergeCell ref="A22:B22"/>
    <mergeCell ref="A23:B23"/>
    <mergeCell ref="A24:B24"/>
    <mergeCell ref="A26:B26"/>
    <mergeCell ref="A28:B28"/>
    <mergeCell ref="A31:B31"/>
    <mergeCell ref="A32:B32"/>
    <mergeCell ref="A30:B30"/>
    <mergeCell ref="A27:B27"/>
    <mergeCell ref="A25:B25"/>
    <mergeCell ref="A29:B29"/>
    <mergeCell ref="A38:B38"/>
    <mergeCell ref="A39:B39"/>
    <mergeCell ref="A33:C33"/>
    <mergeCell ref="A40:B40"/>
    <mergeCell ref="A41:B41"/>
    <mergeCell ref="A42:B42"/>
    <mergeCell ref="A50:F50"/>
    <mergeCell ref="A43:B43"/>
    <mergeCell ref="A44:B44"/>
    <mergeCell ref="A48:C48"/>
    <mergeCell ref="A45:C45"/>
  </mergeCells>
  <pageMargins left="0.70866141732283472" right="0.70866141732283472" top="0.47244094488188981" bottom="0.47244094488188981" header="0" footer="0.31496062992125984"/>
  <pageSetup paperSize="9" scale="97" orientation="portrait" verticalDpi="0" r:id="rId1"/>
  <ignoredErrors>
    <ignoredError sqref="C41:C42 C18:D18 C30:D32 C40 D39 F11 C24:D25 D26 C21:D22" unlockedFormula="1"/>
    <ignoredError sqref="D27:D29" formula="1" unlocked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9525</xdr:rowOff>
              </from>
              <to>
                <xdr:col>1</xdr:col>
                <xdr:colOff>0</xdr:colOff>
                <xdr:row>2</xdr:row>
                <xdr:rowOff>9525</xdr:rowOff>
              </to>
            </anchor>
          </objectPr>
        </oleObject>
      </mc:Choice>
      <mc:Fallback>
        <oleObject progId="Word.Picture.8" shapeId="3073" r:id="rId4"/>
      </mc:Fallback>
    </mc:AlternateContent>
    <mc:AlternateContent xmlns:mc="http://schemas.openxmlformats.org/markup-compatibility/2006">
      <mc:Choice Requires="x14">
        <oleObject progId="Word.Picture.8" shapeId="3074" r:id="rId6">
          <objectPr defaultSize="0" autoPict="0" r:id="rId5">
            <anchor moveWithCells="1" sizeWithCells="1">
              <from>
                <xdr:col>1</xdr:col>
                <xdr:colOff>428625</xdr:colOff>
                <xdr:row>0</xdr:row>
                <xdr:rowOff>9525</xdr:rowOff>
              </from>
              <to>
                <xdr:col>2</xdr:col>
                <xdr:colOff>228600</xdr:colOff>
                <xdr:row>2</xdr:row>
                <xdr:rowOff>9525</xdr:rowOff>
              </to>
            </anchor>
          </objectPr>
        </oleObject>
      </mc:Choice>
      <mc:Fallback>
        <oleObject progId="Word.Picture.8" shapeId="3074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tabColor rgb="FFFFFF00"/>
  </sheetPr>
  <dimension ref="A1:J54"/>
  <sheetViews>
    <sheetView zoomScaleNormal="100" workbookViewId="0">
      <selection activeCell="F10" sqref="F10"/>
    </sheetView>
  </sheetViews>
  <sheetFormatPr baseColWidth="10" defaultRowHeight="14.25" x14ac:dyDescent="0.2"/>
  <cols>
    <col min="1" max="1" width="13.875" customWidth="1"/>
    <col min="3" max="3" width="11.25" customWidth="1"/>
    <col min="4" max="4" width="12.25" customWidth="1"/>
    <col min="5" max="5" width="13.375" customWidth="1"/>
    <col min="6" max="6" width="18.625" customWidth="1"/>
    <col min="9" max="9" width="15.25" customWidth="1"/>
  </cols>
  <sheetData>
    <row r="1" spans="1:6" ht="15" x14ac:dyDescent="0.25">
      <c r="A1" s="267" t="s">
        <v>178</v>
      </c>
    </row>
    <row r="2" spans="1:6" ht="15" x14ac:dyDescent="0.25">
      <c r="A2" s="267" t="s">
        <v>179</v>
      </c>
    </row>
    <row r="4" spans="1:6" x14ac:dyDescent="0.2">
      <c r="A4" s="47" t="s">
        <v>107</v>
      </c>
      <c r="B4" s="540" t="str">
        <f>'Investitionskosten Anlage'!B4:C4</f>
        <v>Schwarze Johannisbeeren</v>
      </c>
      <c r="C4" s="541"/>
      <c r="D4" s="510" t="s">
        <v>111</v>
      </c>
      <c r="E4" s="511"/>
      <c r="F4" s="179" t="str">
        <f>'Investitionskosten Anlage'!F5</f>
        <v>3,50m</v>
      </c>
    </row>
    <row r="5" spans="1:6" x14ac:dyDescent="0.2">
      <c r="A5" s="47" t="s">
        <v>108</v>
      </c>
      <c r="B5" s="540" t="str">
        <f>'Investitionskosten Anlage'!B5:C5</f>
        <v>Ben Alder</v>
      </c>
      <c r="C5" s="541"/>
      <c r="D5" s="510" t="s">
        <v>112</v>
      </c>
      <c r="E5" s="511"/>
      <c r="F5" s="179" t="str">
        <f>'Investitionskosten Anlage'!F6</f>
        <v>0,5m</v>
      </c>
    </row>
    <row r="6" spans="1:6" x14ac:dyDescent="0.2">
      <c r="A6" s="97" t="s">
        <v>109</v>
      </c>
      <c r="B6" s="542" t="str">
        <f>'Investitionskosten Anlage'!B6:C10</f>
        <v>Freiland, Industrieware</v>
      </c>
      <c r="C6" s="543"/>
      <c r="D6" s="512" t="s">
        <v>311</v>
      </c>
      <c r="E6" s="513"/>
      <c r="F6" s="179">
        <f>'Investitionskosten Anlage'!F7</f>
        <v>12</v>
      </c>
    </row>
    <row r="7" spans="1:6" x14ac:dyDescent="0.2">
      <c r="A7" s="95"/>
      <c r="B7" s="544"/>
      <c r="C7" s="545"/>
      <c r="D7" s="510" t="s">
        <v>312</v>
      </c>
      <c r="E7" s="511"/>
      <c r="F7" s="230">
        <f>'Investitionskosten Anlage'!F8</f>
        <v>1</v>
      </c>
    </row>
    <row r="8" spans="1:6" x14ac:dyDescent="0.2">
      <c r="A8" s="95"/>
      <c r="B8" s="544"/>
      <c r="C8" s="545"/>
      <c r="D8" s="510" t="s">
        <v>313</v>
      </c>
      <c r="E8" s="511"/>
      <c r="F8" s="179">
        <f>'Investitionskosten Anlage'!F9</f>
        <v>0.9</v>
      </c>
    </row>
    <row r="9" spans="1:6" x14ac:dyDescent="0.2">
      <c r="A9" s="95"/>
      <c r="B9" s="544"/>
      <c r="C9" s="545"/>
      <c r="D9" s="510" t="s">
        <v>113</v>
      </c>
      <c r="E9" s="511"/>
      <c r="F9" s="179">
        <f>'Investitionskosten Anlage'!F10</f>
        <v>0.1</v>
      </c>
    </row>
    <row r="10" spans="1:6" x14ac:dyDescent="0.2">
      <c r="A10" s="98"/>
      <c r="B10" s="546"/>
      <c r="C10" s="554"/>
      <c r="D10" s="548" t="s">
        <v>184</v>
      </c>
      <c r="E10" s="549"/>
      <c r="F10" s="268">
        <v>2500</v>
      </c>
    </row>
    <row r="11" spans="1:6" x14ac:dyDescent="0.2">
      <c r="A11" s="47" t="s">
        <v>152</v>
      </c>
      <c r="B11" s="551">
        <v>3000</v>
      </c>
      <c r="C11" s="552"/>
      <c r="D11" s="553" t="s">
        <v>185</v>
      </c>
      <c r="E11" s="513"/>
      <c r="F11" s="322">
        <f>IF(F10&gt;0,B11/F10,0)</f>
        <v>1.2</v>
      </c>
    </row>
    <row r="13" spans="1:6" ht="20.25" x14ac:dyDescent="0.3">
      <c r="A13" s="550" t="s">
        <v>172</v>
      </c>
      <c r="B13" s="550"/>
      <c r="C13" s="550"/>
      <c r="D13" s="550"/>
      <c r="E13" s="550"/>
      <c r="F13" s="550"/>
    </row>
    <row r="14" spans="1:6" x14ac:dyDescent="0.2">
      <c r="F14" s="174"/>
    </row>
    <row r="15" spans="1:6" x14ac:dyDescent="0.2">
      <c r="A15" s="525" t="s">
        <v>169</v>
      </c>
      <c r="B15" s="525"/>
      <c r="C15" s="525"/>
      <c r="D15" s="525"/>
      <c r="E15" s="525"/>
      <c r="F15" s="525"/>
    </row>
    <row r="16" spans="1:6" ht="15.75" x14ac:dyDescent="0.25">
      <c r="A16" s="536"/>
      <c r="B16" s="537"/>
      <c r="C16" s="191" t="s">
        <v>129</v>
      </c>
      <c r="D16" s="191" t="s">
        <v>114</v>
      </c>
      <c r="E16" s="184" t="s">
        <v>11</v>
      </c>
      <c r="F16" s="191" t="s">
        <v>117</v>
      </c>
    </row>
    <row r="17" spans="1:6" x14ac:dyDescent="0.2">
      <c r="A17" s="538" t="s">
        <v>153</v>
      </c>
      <c r="B17" s="539"/>
      <c r="C17" s="539"/>
      <c r="D17" s="209"/>
      <c r="E17" s="214">
        <f>'Investitionskosten Anlage'!F51</f>
        <v>566.7025000000001</v>
      </c>
      <c r="F17" s="211">
        <f>IF(B$11&gt;0,E17/B$11,0)</f>
        <v>0.18890083333333338</v>
      </c>
    </row>
    <row r="18" spans="1:6" x14ac:dyDescent="0.2">
      <c r="A18" s="523" t="s">
        <v>115</v>
      </c>
      <c r="B18" s="524"/>
      <c r="C18" s="281">
        <f>F7</f>
        <v>1</v>
      </c>
      <c r="D18" s="286">
        <f>'Investitionskosten Anlage'!D43</f>
        <v>600</v>
      </c>
      <c r="E18" s="199">
        <f>C18*D18</f>
        <v>600</v>
      </c>
      <c r="F18" s="194">
        <f t="shared" ref="F18:F34" si="0">IF(B$11&gt;0,E18/B$11,0)</f>
        <v>0.2</v>
      </c>
    </row>
    <row r="19" spans="1:6" x14ac:dyDescent="0.2">
      <c r="A19" s="523" t="s">
        <v>190</v>
      </c>
      <c r="B19" s="524"/>
      <c r="C19" s="281">
        <v>1</v>
      </c>
      <c r="D19" s="286">
        <v>256</v>
      </c>
      <c r="E19" s="199">
        <f t="shared" ref="E19:E32" si="1">C19*D19</f>
        <v>256</v>
      </c>
      <c r="F19" s="194">
        <f t="shared" si="0"/>
        <v>8.533333333333333E-2</v>
      </c>
    </row>
    <row r="20" spans="1:6" x14ac:dyDescent="0.2">
      <c r="A20" s="523" t="s">
        <v>191</v>
      </c>
      <c r="B20" s="524"/>
      <c r="C20" s="281">
        <v>1</v>
      </c>
      <c r="D20" s="286">
        <v>491.91</v>
      </c>
      <c r="E20" s="199">
        <f t="shared" si="1"/>
        <v>491.91</v>
      </c>
      <c r="F20" s="194">
        <f t="shared" si="0"/>
        <v>0.16397</v>
      </c>
    </row>
    <row r="21" spans="1:6" x14ac:dyDescent="0.2">
      <c r="A21" s="523" t="s">
        <v>230</v>
      </c>
      <c r="B21" s="524"/>
      <c r="C21" s="281"/>
      <c r="D21" s="286"/>
      <c r="E21" s="199">
        <f t="shared" si="1"/>
        <v>0</v>
      </c>
      <c r="F21" s="194">
        <f t="shared" si="0"/>
        <v>0</v>
      </c>
    </row>
    <row r="22" spans="1:6" x14ac:dyDescent="0.2">
      <c r="A22" s="523" t="s">
        <v>154</v>
      </c>
      <c r="B22" s="524"/>
      <c r="C22" s="281"/>
      <c r="D22" s="286"/>
      <c r="E22" s="199">
        <f t="shared" si="1"/>
        <v>0</v>
      </c>
      <c r="F22" s="194">
        <f t="shared" si="0"/>
        <v>0</v>
      </c>
    </row>
    <row r="23" spans="1:6" x14ac:dyDescent="0.2">
      <c r="A23" s="523" t="s">
        <v>156</v>
      </c>
      <c r="B23" s="524"/>
      <c r="C23" s="281">
        <v>1</v>
      </c>
      <c r="D23" s="286">
        <v>381.5</v>
      </c>
      <c r="E23" s="199">
        <f t="shared" si="1"/>
        <v>381.5</v>
      </c>
      <c r="F23" s="194">
        <f t="shared" si="0"/>
        <v>0.12716666666666668</v>
      </c>
    </row>
    <row r="24" spans="1:6" x14ac:dyDescent="0.2">
      <c r="A24" s="523" t="s">
        <v>200</v>
      </c>
      <c r="B24" s="524"/>
      <c r="C24" s="281"/>
      <c r="D24" s="286"/>
      <c r="E24" s="199">
        <f t="shared" si="1"/>
        <v>0</v>
      </c>
      <c r="F24" s="194">
        <f t="shared" si="0"/>
        <v>0</v>
      </c>
    </row>
    <row r="25" spans="1:6" x14ac:dyDescent="0.2">
      <c r="A25" s="523" t="s">
        <v>201</v>
      </c>
      <c r="B25" s="524"/>
      <c r="C25" s="281"/>
      <c r="D25" s="286">
        <f>Ertragsgrenzen!$B$21</f>
        <v>14</v>
      </c>
      <c r="E25" s="199">
        <f t="shared" si="1"/>
        <v>0</v>
      </c>
      <c r="F25" s="194">
        <f t="shared" si="0"/>
        <v>0</v>
      </c>
    </row>
    <row r="26" spans="1:6" x14ac:dyDescent="0.2">
      <c r="A26" s="523" t="s">
        <v>203</v>
      </c>
      <c r="B26" s="524"/>
      <c r="C26" s="281">
        <v>5</v>
      </c>
      <c r="D26" s="286">
        <f>Ertragsgrenzen!$B$22</f>
        <v>25</v>
      </c>
      <c r="E26" s="199">
        <f t="shared" si="1"/>
        <v>125</v>
      </c>
      <c r="F26" s="194">
        <f t="shared" si="0"/>
        <v>4.1666666666666664E-2</v>
      </c>
    </row>
    <row r="27" spans="1:6" x14ac:dyDescent="0.2">
      <c r="A27" s="523" t="s">
        <v>202</v>
      </c>
      <c r="B27" s="524"/>
      <c r="C27" s="281">
        <v>4</v>
      </c>
      <c r="D27" s="286">
        <f>Ertragsgrenzen!$B$21</f>
        <v>14</v>
      </c>
      <c r="E27" s="199">
        <f t="shared" si="1"/>
        <v>56</v>
      </c>
      <c r="F27" s="194">
        <f t="shared" si="0"/>
        <v>1.8666666666666668E-2</v>
      </c>
    </row>
    <row r="28" spans="1:6" x14ac:dyDescent="0.2">
      <c r="A28" s="523" t="s">
        <v>299</v>
      </c>
      <c r="B28" s="524"/>
      <c r="C28" s="281">
        <v>25</v>
      </c>
      <c r="D28" s="286">
        <f>Ertragsgrenzen!$B$21</f>
        <v>14</v>
      </c>
      <c r="E28" s="199">
        <f t="shared" si="1"/>
        <v>350</v>
      </c>
      <c r="F28" s="194">
        <f t="shared" si="0"/>
        <v>0.11666666666666667</v>
      </c>
    </row>
    <row r="29" spans="1:6" x14ac:dyDescent="0.2">
      <c r="A29" s="523" t="s">
        <v>205</v>
      </c>
      <c r="B29" s="524"/>
      <c r="C29" s="281">
        <v>18</v>
      </c>
      <c r="D29" s="286">
        <f>Ertragsgrenzen!$B$22</f>
        <v>25</v>
      </c>
      <c r="E29" s="199">
        <f t="shared" si="1"/>
        <v>450</v>
      </c>
      <c r="F29" s="194">
        <f t="shared" si="0"/>
        <v>0.15</v>
      </c>
    </row>
    <row r="30" spans="1:6" x14ac:dyDescent="0.2">
      <c r="A30" s="523" t="s">
        <v>206</v>
      </c>
      <c r="B30" s="524"/>
      <c r="C30" s="281"/>
      <c r="D30" s="286">
        <f>Ertragsgrenzen!$B$21</f>
        <v>14</v>
      </c>
      <c r="E30" s="199">
        <f t="shared" si="1"/>
        <v>0</v>
      </c>
      <c r="F30" s="194">
        <f t="shared" si="0"/>
        <v>0</v>
      </c>
    </row>
    <row r="31" spans="1:6" x14ac:dyDescent="0.2">
      <c r="A31" s="523" t="s">
        <v>207</v>
      </c>
      <c r="B31" s="524"/>
      <c r="C31" s="281"/>
      <c r="D31" s="286">
        <f>Ertragsgrenzen!$B$21</f>
        <v>14</v>
      </c>
      <c r="E31" s="199">
        <f t="shared" si="1"/>
        <v>0</v>
      </c>
      <c r="F31" s="194">
        <f t="shared" si="0"/>
        <v>0</v>
      </c>
    </row>
    <row r="32" spans="1:6" x14ac:dyDescent="0.2">
      <c r="A32" s="523" t="s">
        <v>208</v>
      </c>
      <c r="B32" s="524"/>
      <c r="C32" s="287"/>
      <c r="D32" s="286">
        <f>Ertragsgrenzen!$B$21</f>
        <v>14</v>
      </c>
      <c r="E32" s="199">
        <f t="shared" si="1"/>
        <v>0</v>
      </c>
      <c r="F32" s="194">
        <f t="shared" si="0"/>
        <v>0</v>
      </c>
    </row>
    <row r="33" spans="1:10" ht="13.9" customHeight="1" x14ac:dyDescent="0.2">
      <c r="A33" s="534" t="s">
        <v>177</v>
      </c>
      <c r="B33" s="535"/>
      <c r="C33" s="527"/>
      <c r="D33" s="288">
        <v>0.02</v>
      </c>
      <c r="E33" s="193">
        <f>(SUM('Investitionskosten Anlage'!D16:D22)+SUM('Investitionskosten Anlage'!D27:D28))*D33</f>
        <v>3.1</v>
      </c>
      <c r="F33" s="193">
        <f t="shared" si="0"/>
        <v>1.0333333333333334E-3</v>
      </c>
    </row>
    <row r="34" spans="1:10" ht="15" x14ac:dyDescent="0.25">
      <c r="A34" s="530" t="s">
        <v>158</v>
      </c>
      <c r="B34" s="531"/>
      <c r="C34" s="531"/>
      <c r="D34" s="207"/>
      <c r="E34" s="200">
        <f>SUM(E17:E33)</f>
        <v>3280.2125000000001</v>
      </c>
      <c r="F34" s="195">
        <f t="shared" si="0"/>
        <v>1.0934041666666667</v>
      </c>
    </row>
    <row r="35" spans="1:10" x14ac:dyDescent="0.2">
      <c r="A35" s="173"/>
      <c r="B35" s="173"/>
    </row>
    <row r="36" spans="1:10" x14ac:dyDescent="0.2">
      <c r="A36" s="525" t="s">
        <v>170</v>
      </c>
      <c r="B36" s="525"/>
      <c r="C36" s="525"/>
      <c r="D36" s="525"/>
      <c r="E36" s="525"/>
      <c r="F36" s="525"/>
    </row>
    <row r="37" spans="1:10" ht="16.5" thickBot="1" x14ac:dyDescent="0.3">
      <c r="A37" s="206"/>
      <c r="B37" s="191"/>
      <c r="C37" s="184" t="s">
        <v>129</v>
      </c>
      <c r="D37" s="191" t="s">
        <v>114</v>
      </c>
      <c r="E37" s="184" t="s">
        <v>11</v>
      </c>
      <c r="F37" s="184" t="s">
        <v>117</v>
      </c>
    </row>
    <row r="38" spans="1:10" ht="15.75" thickBot="1" x14ac:dyDescent="0.3">
      <c r="A38" s="532" t="s">
        <v>211</v>
      </c>
      <c r="B38" s="533"/>
      <c r="C38" s="271">
        <v>2</v>
      </c>
      <c r="D38" s="286">
        <f>Ertragsgrenzen!$B$22</f>
        <v>25</v>
      </c>
      <c r="E38" s="198">
        <f>C38*D38</f>
        <v>50</v>
      </c>
      <c r="F38" s="193">
        <f>IF(B$11&gt;0,E38/B$11,0)</f>
        <v>1.6666666666666666E-2</v>
      </c>
      <c r="H38" s="317" t="s">
        <v>181</v>
      </c>
      <c r="I38" s="318"/>
      <c r="J38" s="319"/>
    </row>
    <row r="39" spans="1:10" ht="15" thickBot="1" x14ac:dyDescent="0.25">
      <c r="A39" s="523" t="s">
        <v>210</v>
      </c>
      <c r="B39" s="524"/>
      <c r="C39" s="273">
        <v>5</v>
      </c>
      <c r="D39" s="286">
        <f>Ertragsgrenzen!$B$22</f>
        <v>25</v>
      </c>
      <c r="E39" s="199">
        <f t="shared" ref="E39:E44" si="2">C39*D39</f>
        <v>125</v>
      </c>
      <c r="F39" s="194">
        <f t="shared" ref="F39:F45" si="3">IF(B$11&gt;0,E39/B$11,0)</f>
        <v>4.1666666666666664E-2</v>
      </c>
    </row>
    <row r="40" spans="1:10" ht="15.75" thickBot="1" x14ac:dyDescent="0.3">
      <c r="A40" s="523" t="s">
        <v>189</v>
      </c>
      <c r="B40" s="524"/>
      <c r="C40" s="273">
        <f>B11*J42</f>
        <v>0</v>
      </c>
      <c r="D40" s="286">
        <v>0.04</v>
      </c>
      <c r="E40" s="199">
        <f t="shared" si="2"/>
        <v>0</v>
      </c>
      <c r="F40" s="194">
        <f t="shared" si="3"/>
        <v>0</v>
      </c>
      <c r="H40" s="317" t="s">
        <v>182</v>
      </c>
      <c r="I40" s="318"/>
      <c r="J40" s="319"/>
    </row>
    <row r="41" spans="1:10" ht="15" thickBot="1" x14ac:dyDescent="0.25">
      <c r="A41" s="523" t="s">
        <v>187</v>
      </c>
      <c r="B41" s="524"/>
      <c r="C41" s="273">
        <f>B11*J42</f>
        <v>0</v>
      </c>
      <c r="D41" s="486">
        <f>IF(C41&gt;0, SUM(Deckungsbeitrag!F81:F82)/C41, 0)</f>
        <v>0</v>
      </c>
      <c r="E41" s="199">
        <f t="shared" si="2"/>
        <v>0</v>
      </c>
      <c r="F41" s="194">
        <f t="shared" si="3"/>
        <v>0</v>
      </c>
    </row>
    <row r="42" spans="1:10" ht="15.75" thickBot="1" x14ac:dyDescent="0.3">
      <c r="A42" s="523" t="s">
        <v>188</v>
      </c>
      <c r="B42" s="524"/>
      <c r="C42" s="273">
        <f>B11</f>
        <v>3000</v>
      </c>
      <c r="D42" s="286">
        <v>0.05</v>
      </c>
      <c r="E42" s="199">
        <f t="shared" si="2"/>
        <v>150</v>
      </c>
      <c r="F42" s="194">
        <f t="shared" si="3"/>
        <v>0.05</v>
      </c>
      <c r="H42" s="317" t="s">
        <v>183</v>
      </c>
      <c r="I42" s="318"/>
      <c r="J42" s="319"/>
    </row>
    <row r="43" spans="1:10" x14ac:dyDescent="0.2">
      <c r="A43" s="523" t="s">
        <v>104</v>
      </c>
      <c r="B43" s="524"/>
      <c r="C43" s="273"/>
      <c r="D43" s="286"/>
      <c r="E43" s="199">
        <f t="shared" si="2"/>
        <v>0</v>
      </c>
      <c r="F43" s="194">
        <f t="shared" si="3"/>
        <v>0</v>
      </c>
    </row>
    <row r="44" spans="1:10" x14ac:dyDescent="0.2">
      <c r="A44" s="526" t="s">
        <v>156</v>
      </c>
      <c r="B44" s="527"/>
      <c r="C44" s="290">
        <v>1</v>
      </c>
      <c r="D44" s="289">
        <v>630.6</v>
      </c>
      <c r="E44" s="198">
        <f t="shared" si="2"/>
        <v>630.6</v>
      </c>
      <c r="F44" s="193">
        <f t="shared" si="3"/>
        <v>0.2102</v>
      </c>
    </row>
    <row r="45" spans="1:10" ht="15" x14ac:dyDescent="0.25">
      <c r="A45" s="530" t="s">
        <v>159</v>
      </c>
      <c r="B45" s="531"/>
      <c r="C45" s="531"/>
      <c r="D45" s="210"/>
      <c r="E45" s="200">
        <f>SUM(E38:E44)</f>
        <v>955.6</v>
      </c>
      <c r="F45" s="195">
        <f t="shared" si="3"/>
        <v>0.31853333333333333</v>
      </c>
    </row>
    <row r="47" spans="1:10" ht="15" thickBot="1" x14ac:dyDescent="0.25"/>
    <row r="48" spans="1:10" ht="18.75" thickBot="1" x14ac:dyDescent="0.3">
      <c r="A48" s="528" t="s">
        <v>171</v>
      </c>
      <c r="B48" s="529"/>
      <c r="C48" s="529"/>
      <c r="D48" s="208"/>
      <c r="E48" s="213">
        <f>SUM(E45+E34)</f>
        <v>4235.8125</v>
      </c>
      <c r="F48" s="212">
        <f>IF(B$11&gt;0,E48/B$11,0)</f>
        <v>1.4119375000000001</v>
      </c>
    </row>
    <row r="50" spans="1:6" x14ac:dyDescent="0.2">
      <c r="A50" s="525" t="s">
        <v>46</v>
      </c>
      <c r="B50" s="525"/>
      <c r="C50" s="525"/>
      <c r="D50" s="525"/>
      <c r="E50" s="525"/>
      <c r="F50" s="525"/>
    </row>
    <row r="51" spans="1:6" ht="28.5" x14ac:dyDescent="0.2">
      <c r="A51" s="47"/>
      <c r="B51" s="223" t="s">
        <v>161</v>
      </c>
      <c r="C51" s="223" t="s">
        <v>11</v>
      </c>
      <c r="D51" s="217" t="s">
        <v>163</v>
      </c>
      <c r="E51" s="217" t="s">
        <v>162</v>
      </c>
      <c r="F51" s="217" t="s">
        <v>186</v>
      </c>
    </row>
    <row r="52" spans="1:6" x14ac:dyDescent="0.2">
      <c r="A52" s="95" t="s">
        <v>160</v>
      </c>
      <c r="B52" s="275">
        <v>9</v>
      </c>
      <c r="C52" s="215">
        <f>'Einzelkosten Vollertrag'!E48</f>
        <v>4600.2725</v>
      </c>
      <c r="D52" s="218">
        <f>'Einzelkosten Vollertrag'!F48</f>
        <v>0.6133696666666667</v>
      </c>
      <c r="E52" s="218">
        <f>'Einzelkosten Vollertrag'!F45</f>
        <v>0.17741333333333331</v>
      </c>
      <c r="F52" s="218">
        <f>'Einzelkosten Vollertrag'!E34</f>
        <v>3269.6725000000001</v>
      </c>
    </row>
    <row r="53" spans="1:6" x14ac:dyDescent="0.2">
      <c r="A53" s="95" t="s">
        <v>19</v>
      </c>
      <c r="B53" s="275">
        <v>2</v>
      </c>
      <c r="C53" s="216">
        <f>'Einzelkosten Junganlage'!E48</f>
        <v>4235.8125</v>
      </c>
      <c r="D53" s="218">
        <f>'Einzelkosten Junganlage'!F48</f>
        <v>1.4119375000000001</v>
      </c>
      <c r="E53" s="218">
        <f>'Einzelkosten Junganlage'!F45</f>
        <v>0.31853333333333333</v>
      </c>
      <c r="F53" s="218">
        <f>E34</f>
        <v>3280.2125000000001</v>
      </c>
    </row>
    <row r="54" spans="1:6" ht="15.75" x14ac:dyDescent="0.25">
      <c r="A54" s="222" t="s">
        <v>52</v>
      </c>
      <c r="B54" s="219">
        <f>SUM(B52:B53)</f>
        <v>11</v>
      </c>
      <c r="C54" s="220">
        <f>IF(B54&gt;0,(C52*B52+C53*B53)/B54,0)</f>
        <v>4534.0070454545457</v>
      </c>
      <c r="D54" s="226">
        <f>IF(B54&gt;0,(D52*B52+D53*B53)/B54,0)</f>
        <v>0.75856381818181806</v>
      </c>
      <c r="E54" s="221">
        <f>IF(B54&gt;0,(E52*B52+E53*B53)/B54,0)</f>
        <v>0.20307151515151514</v>
      </c>
      <c r="F54" s="221">
        <f>IF(B54&gt;0,(F52*B52+F53*B53)/B54,0)</f>
        <v>3271.5888636363638</v>
      </c>
    </row>
  </sheetData>
  <sheetProtection password="DC5E" sheet="1" objects="1" scenarios="1" selectLockedCells="1"/>
  <mergeCells count="44">
    <mergeCell ref="B4:C4"/>
    <mergeCell ref="D4:E4"/>
    <mergeCell ref="B5:C5"/>
    <mergeCell ref="D5:E5"/>
    <mergeCell ref="B6:C10"/>
    <mergeCell ref="D6:E6"/>
    <mergeCell ref="D7:E7"/>
    <mergeCell ref="D8:E8"/>
    <mergeCell ref="D9:E9"/>
    <mergeCell ref="D10:E10"/>
    <mergeCell ref="A23:B23"/>
    <mergeCell ref="B11:C11"/>
    <mergeCell ref="D11:E11"/>
    <mergeCell ref="A13:F13"/>
    <mergeCell ref="A15:F15"/>
    <mergeCell ref="A16:B16"/>
    <mergeCell ref="A17:C17"/>
    <mergeCell ref="A18:B18"/>
    <mergeCell ref="A19:B19"/>
    <mergeCell ref="A20:B20"/>
    <mergeCell ref="A21:B21"/>
    <mergeCell ref="A22:B22"/>
    <mergeCell ref="A40:B40"/>
    <mergeCell ref="A24:B24"/>
    <mergeCell ref="A27:B27"/>
    <mergeCell ref="A28:B28"/>
    <mergeCell ref="A31:B31"/>
    <mergeCell ref="A32:B32"/>
    <mergeCell ref="A26:B26"/>
    <mergeCell ref="A29:B29"/>
    <mergeCell ref="A30:B30"/>
    <mergeCell ref="A25:B25"/>
    <mergeCell ref="A34:C34"/>
    <mergeCell ref="A36:F36"/>
    <mergeCell ref="A38:B38"/>
    <mergeCell ref="A39:B39"/>
    <mergeCell ref="A33:C33"/>
    <mergeCell ref="A50:F50"/>
    <mergeCell ref="A41:B41"/>
    <mergeCell ref="A42:B42"/>
    <mergeCell ref="A43:B43"/>
    <mergeCell ref="A44:B44"/>
    <mergeCell ref="A45:C45"/>
    <mergeCell ref="A48:C48"/>
  </mergeCells>
  <pageMargins left="0.70866141732283461" right="0.70866141732283461" top="0.47244094488188976" bottom="0.47244094488188976" header="0" footer="0.31496062992125984"/>
  <pageSetup paperSize="9" scale="97" orientation="portrait" verticalDpi="0" r:id="rId1"/>
  <ignoredErrors>
    <ignoredError sqref="D18 D27:D28 C30:D32 C40:D40 F11 C42:D42 C41 C24:D25 D39 C21:D22" unlockedFormula="1"/>
    <ignoredError sqref="D26 D29" formula="1" unlocked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4101" r:id="rId4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9525</xdr:rowOff>
              </from>
              <to>
                <xdr:col>1</xdr:col>
                <xdr:colOff>0</xdr:colOff>
                <xdr:row>2</xdr:row>
                <xdr:rowOff>9525</xdr:rowOff>
              </to>
            </anchor>
          </objectPr>
        </oleObject>
      </mc:Choice>
      <mc:Fallback>
        <oleObject progId="Word.Picture.8" shapeId="4101" r:id="rId4"/>
      </mc:Fallback>
    </mc:AlternateContent>
    <mc:AlternateContent xmlns:mc="http://schemas.openxmlformats.org/markup-compatibility/2006">
      <mc:Choice Requires="x14">
        <oleObject progId="Word.Picture.8" shapeId="4102" r:id="rId6">
          <objectPr defaultSize="0" autoPict="0" r:id="rId5">
            <anchor moveWithCells="1" sizeWithCells="1">
              <from>
                <xdr:col>1</xdr:col>
                <xdr:colOff>428625</xdr:colOff>
                <xdr:row>0</xdr:row>
                <xdr:rowOff>9525</xdr:rowOff>
              </from>
              <to>
                <xdr:col>2</xdr:col>
                <xdr:colOff>228600</xdr:colOff>
                <xdr:row>2</xdr:row>
                <xdr:rowOff>9525</xdr:rowOff>
              </to>
            </anchor>
          </objectPr>
        </oleObject>
      </mc:Choice>
      <mc:Fallback>
        <oleObject progId="Word.Picture.8" shapeId="4102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>
    <tabColor rgb="FFFFFF00"/>
  </sheetPr>
  <dimension ref="A1:M22"/>
  <sheetViews>
    <sheetView zoomScaleNormal="100" workbookViewId="0">
      <selection activeCell="B21" sqref="B21"/>
    </sheetView>
  </sheetViews>
  <sheetFormatPr baseColWidth="10" defaultRowHeight="14.25" x14ac:dyDescent="0.2"/>
  <cols>
    <col min="1" max="1" width="28.25" customWidth="1"/>
    <col min="2" max="13" width="11.625" customWidth="1"/>
  </cols>
  <sheetData>
    <row r="1" spans="1:13" ht="15" x14ac:dyDescent="0.25">
      <c r="D1" s="267" t="s">
        <v>178</v>
      </c>
    </row>
    <row r="2" spans="1:13" ht="15" x14ac:dyDescent="0.25">
      <c r="D2" s="267" t="s">
        <v>179</v>
      </c>
    </row>
    <row r="4" spans="1:13" ht="23.25" customHeight="1" x14ac:dyDescent="0.2">
      <c r="A4" s="555" t="s">
        <v>165</v>
      </c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</row>
    <row r="5" spans="1:13" ht="15" thickBot="1" x14ac:dyDescent="0.25">
      <c r="B5" s="173"/>
      <c r="C5" s="173"/>
      <c r="D5" s="173"/>
      <c r="E5" s="173"/>
      <c r="F5" s="173"/>
      <c r="G5" s="173"/>
      <c r="H5" s="173"/>
    </row>
    <row r="6" spans="1:13" x14ac:dyDescent="0.2">
      <c r="G6" s="239"/>
      <c r="H6" s="240"/>
    </row>
    <row r="7" spans="1:13" x14ac:dyDescent="0.2">
      <c r="A7" s="291" t="s">
        <v>298</v>
      </c>
      <c r="B7" s="499">
        <f>B8/5000</f>
        <v>1</v>
      </c>
      <c r="C7" s="499">
        <f t="shared" ref="C7:M7" si="0">C8/5000</f>
        <v>1.1000000000000001</v>
      </c>
      <c r="D7" s="500">
        <f t="shared" si="0"/>
        <v>1.2</v>
      </c>
      <c r="E7" s="500">
        <f t="shared" si="0"/>
        <v>1.3</v>
      </c>
      <c r="F7" s="501">
        <f t="shared" si="0"/>
        <v>1.4</v>
      </c>
      <c r="G7" s="502">
        <f t="shared" si="0"/>
        <v>1.5</v>
      </c>
      <c r="H7" s="503">
        <f t="shared" si="0"/>
        <v>1.6</v>
      </c>
      <c r="I7" s="504">
        <f t="shared" si="0"/>
        <v>1.7</v>
      </c>
      <c r="J7" s="505">
        <f t="shared" si="0"/>
        <v>1.8</v>
      </c>
      <c r="K7" s="505">
        <f t="shared" si="0"/>
        <v>1.9</v>
      </c>
      <c r="L7" s="506">
        <f t="shared" si="0"/>
        <v>2</v>
      </c>
      <c r="M7" s="506">
        <f t="shared" si="0"/>
        <v>2.1</v>
      </c>
    </row>
    <row r="8" spans="1:13" x14ac:dyDescent="0.2">
      <c r="A8" s="278" t="s">
        <v>164</v>
      </c>
      <c r="B8" s="292">
        <v>5000</v>
      </c>
      <c r="C8" s="292">
        <v>5500</v>
      </c>
      <c r="D8" s="293">
        <v>6000</v>
      </c>
      <c r="E8" s="293">
        <v>6500</v>
      </c>
      <c r="F8" s="294">
        <v>7000</v>
      </c>
      <c r="G8" s="295">
        <v>7500</v>
      </c>
      <c r="H8" s="296">
        <v>8000</v>
      </c>
      <c r="I8" s="297">
        <v>8500</v>
      </c>
      <c r="J8" s="298">
        <v>9000</v>
      </c>
      <c r="K8" s="298">
        <v>9500</v>
      </c>
      <c r="L8" s="299">
        <v>10000</v>
      </c>
      <c r="M8" s="299">
        <v>10500</v>
      </c>
    </row>
    <row r="9" spans="1:13" x14ac:dyDescent="0.2">
      <c r="A9" s="181" t="s">
        <v>118</v>
      </c>
      <c r="B9" s="243">
        <f>'Einzelkosten Vollertrag'!$F$54/B8</f>
        <v>0.65431777272727276</v>
      </c>
      <c r="C9" s="243">
        <f>'Einzelkosten Vollertrag'!$F$54/C8</f>
        <v>0.59483433884297521</v>
      </c>
      <c r="D9" s="247">
        <f>'Einzelkosten Vollertrag'!$F$54/D8</f>
        <v>0.54526481060606069</v>
      </c>
      <c r="E9" s="247">
        <f>'Einzelkosten Vollertrag'!$F$54/E8</f>
        <v>0.50332136363636371</v>
      </c>
      <c r="F9" s="245">
        <f>'Einzelkosten Vollertrag'!$F$54/F8</f>
        <v>0.46736983766233769</v>
      </c>
      <c r="G9" s="261">
        <f>'Einzelkosten Vollertrag'!$F$54/G8</f>
        <v>0.43621184848484851</v>
      </c>
      <c r="H9" s="262">
        <f>'Einzelkosten Vollertrag'!$F$54/H8</f>
        <v>0.40894860795454546</v>
      </c>
      <c r="I9" s="249">
        <f>'Einzelkosten Vollertrag'!$F$54/I8</f>
        <v>0.38489280748663102</v>
      </c>
      <c r="J9" s="251">
        <f>'Einzelkosten Vollertrag'!$F$54/J8</f>
        <v>0.36350987373737376</v>
      </c>
      <c r="K9" s="251">
        <f>'Einzelkosten Vollertrag'!$F$54/K8</f>
        <v>0.34437777511961726</v>
      </c>
      <c r="L9" s="258">
        <f>'Einzelkosten Vollertrag'!$F$54/L8</f>
        <v>0.32715888636363638</v>
      </c>
      <c r="M9" s="258">
        <f>'Einzelkosten Vollertrag'!$F$54/M8</f>
        <v>0.31157989177489182</v>
      </c>
    </row>
    <row r="10" spans="1:13" x14ac:dyDescent="0.2">
      <c r="A10" s="95" t="s">
        <v>119</v>
      </c>
      <c r="B10" s="244">
        <f>'Einzelkosten Vollertrag'!$E$54</f>
        <v>0.20307151515151514</v>
      </c>
      <c r="C10" s="244">
        <f>'Einzelkosten Vollertrag'!$E$54</f>
        <v>0.20307151515151514</v>
      </c>
      <c r="D10" s="248">
        <f>'Einzelkosten Vollertrag'!$E$54</f>
        <v>0.20307151515151514</v>
      </c>
      <c r="E10" s="248">
        <f>'Einzelkosten Vollertrag'!$E$54</f>
        <v>0.20307151515151514</v>
      </c>
      <c r="F10" s="246">
        <f>'Einzelkosten Vollertrag'!$E$54</f>
        <v>0.20307151515151514</v>
      </c>
      <c r="G10" s="263">
        <f>'Einzelkosten Vollertrag'!$E$54</f>
        <v>0.20307151515151514</v>
      </c>
      <c r="H10" s="264">
        <f>'Einzelkosten Vollertrag'!$E$54</f>
        <v>0.20307151515151514</v>
      </c>
      <c r="I10" s="250">
        <f>'Einzelkosten Vollertrag'!$E$54</f>
        <v>0.20307151515151514</v>
      </c>
      <c r="J10" s="252">
        <f>'Einzelkosten Vollertrag'!$E$54</f>
        <v>0.20307151515151514</v>
      </c>
      <c r="K10" s="252">
        <f>'Einzelkosten Vollertrag'!$E$54</f>
        <v>0.20307151515151514</v>
      </c>
      <c r="L10" s="259">
        <f>'Einzelkosten Vollertrag'!$E$54</f>
        <v>0.20307151515151514</v>
      </c>
      <c r="M10" s="259">
        <f>'Einzelkosten Vollertrag'!$E$54</f>
        <v>0.20307151515151514</v>
      </c>
    </row>
    <row r="11" spans="1:13" ht="15" x14ac:dyDescent="0.25">
      <c r="A11" s="182" t="s">
        <v>173</v>
      </c>
      <c r="B11" s="224">
        <f>SUM(B9:B10)</f>
        <v>0.85738928787878788</v>
      </c>
      <c r="C11" s="224">
        <f>SUM(C9:C10)</f>
        <v>0.79790585399449032</v>
      </c>
      <c r="D11" s="224">
        <f t="shared" ref="D11:I11" si="1">SUM(D9:D10)</f>
        <v>0.7483363257575758</v>
      </c>
      <c r="E11" s="224">
        <f t="shared" si="1"/>
        <v>0.70639287878787882</v>
      </c>
      <c r="F11" s="231">
        <f t="shared" si="1"/>
        <v>0.67044135281385286</v>
      </c>
      <c r="G11" s="235">
        <f t="shared" si="1"/>
        <v>0.63928336363636362</v>
      </c>
      <c r="H11" s="236">
        <f t="shared" si="1"/>
        <v>0.61202012310606058</v>
      </c>
      <c r="I11" s="233">
        <f t="shared" si="1"/>
        <v>0.58796432263814613</v>
      </c>
      <c r="J11" s="224">
        <f>SUM(J9:J10)</f>
        <v>0.56658138888888887</v>
      </c>
      <c r="K11" s="224">
        <f t="shared" ref="K11:M11" si="2">SUM(K9:K10)</f>
        <v>0.54744929027113243</v>
      </c>
      <c r="L11" s="224">
        <f t="shared" si="2"/>
        <v>0.53023040151515155</v>
      </c>
      <c r="M11" s="224">
        <f t="shared" si="2"/>
        <v>0.51465140692640698</v>
      </c>
    </row>
    <row r="12" spans="1:13" x14ac:dyDescent="0.2">
      <c r="A12" s="95"/>
      <c r="B12" s="257"/>
      <c r="C12" s="257"/>
      <c r="D12" s="256"/>
      <c r="E12" s="256"/>
      <c r="F12" s="255"/>
      <c r="G12" s="265"/>
      <c r="H12" s="266"/>
      <c r="I12" s="254"/>
      <c r="J12" s="253"/>
      <c r="K12" s="253"/>
      <c r="L12" s="260"/>
      <c r="M12" s="260"/>
    </row>
    <row r="13" spans="1:13" x14ac:dyDescent="0.2">
      <c r="A13" s="278" t="s">
        <v>295</v>
      </c>
      <c r="B13" s="300">
        <f>2000/B8</f>
        <v>0.4</v>
      </c>
      <c r="C13" s="300">
        <f t="shared" ref="C13:M13" si="3">2000/C8</f>
        <v>0.36363636363636365</v>
      </c>
      <c r="D13" s="301">
        <f t="shared" si="3"/>
        <v>0.33333333333333331</v>
      </c>
      <c r="E13" s="301">
        <f t="shared" si="3"/>
        <v>0.30769230769230771</v>
      </c>
      <c r="F13" s="302">
        <f t="shared" si="3"/>
        <v>0.2857142857142857</v>
      </c>
      <c r="G13" s="303">
        <f t="shared" si="3"/>
        <v>0.26666666666666666</v>
      </c>
      <c r="H13" s="304">
        <f t="shared" si="3"/>
        <v>0.25</v>
      </c>
      <c r="I13" s="305">
        <f t="shared" si="3"/>
        <v>0.23529411764705882</v>
      </c>
      <c r="J13" s="306">
        <f t="shared" si="3"/>
        <v>0.22222222222222221</v>
      </c>
      <c r="K13" s="306">
        <f t="shared" si="3"/>
        <v>0.21052631578947367</v>
      </c>
      <c r="L13" s="307">
        <f t="shared" si="3"/>
        <v>0.2</v>
      </c>
      <c r="M13" s="307">
        <f t="shared" si="3"/>
        <v>0.19047619047619047</v>
      </c>
    </row>
    <row r="14" spans="1:13" x14ac:dyDescent="0.2">
      <c r="A14" s="278" t="s">
        <v>296</v>
      </c>
      <c r="B14" s="300">
        <f>90/B8</f>
        <v>1.7999999999999999E-2</v>
      </c>
      <c r="C14" s="300">
        <f t="shared" ref="C14:M14" si="4">90/C8</f>
        <v>1.6363636363636365E-2</v>
      </c>
      <c r="D14" s="301">
        <f t="shared" si="4"/>
        <v>1.4999999999999999E-2</v>
      </c>
      <c r="E14" s="301">
        <f t="shared" si="4"/>
        <v>1.3846153846153847E-2</v>
      </c>
      <c r="F14" s="302">
        <f t="shared" si="4"/>
        <v>1.2857142857142857E-2</v>
      </c>
      <c r="G14" s="303">
        <f t="shared" si="4"/>
        <v>1.2E-2</v>
      </c>
      <c r="H14" s="304">
        <f t="shared" si="4"/>
        <v>1.125E-2</v>
      </c>
      <c r="I14" s="305">
        <f t="shared" si="4"/>
        <v>1.0588235294117647E-2</v>
      </c>
      <c r="J14" s="306">
        <f t="shared" si="4"/>
        <v>0.01</v>
      </c>
      <c r="K14" s="306">
        <f t="shared" si="4"/>
        <v>9.4736842105263164E-3</v>
      </c>
      <c r="L14" s="307">
        <f t="shared" si="4"/>
        <v>8.9999999999999993E-3</v>
      </c>
      <c r="M14" s="307">
        <f t="shared" si="4"/>
        <v>8.5714285714285719E-3</v>
      </c>
    </row>
    <row r="15" spans="1:13" ht="15" thickBot="1" x14ac:dyDescent="0.25">
      <c r="A15" s="277" t="s">
        <v>297</v>
      </c>
      <c r="B15" s="308">
        <f>150/B8</f>
        <v>0.03</v>
      </c>
      <c r="C15" s="308">
        <f t="shared" ref="C15:M15" si="5">150/C8</f>
        <v>2.7272727272727271E-2</v>
      </c>
      <c r="D15" s="309">
        <f t="shared" si="5"/>
        <v>2.5000000000000001E-2</v>
      </c>
      <c r="E15" s="309">
        <f t="shared" si="5"/>
        <v>2.3076923076923078E-2</v>
      </c>
      <c r="F15" s="310">
        <f t="shared" si="5"/>
        <v>2.1428571428571429E-2</v>
      </c>
      <c r="G15" s="311">
        <f t="shared" si="5"/>
        <v>0.02</v>
      </c>
      <c r="H15" s="312">
        <f t="shared" si="5"/>
        <v>1.8749999999999999E-2</v>
      </c>
      <c r="I15" s="313">
        <f t="shared" si="5"/>
        <v>1.7647058823529412E-2</v>
      </c>
      <c r="J15" s="314">
        <f t="shared" si="5"/>
        <v>1.6666666666666666E-2</v>
      </c>
      <c r="K15" s="314">
        <f t="shared" si="5"/>
        <v>1.5789473684210527E-2</v>
      </c>
      <c r="L15" s="315">
        <f t="shared" si="5"/>
        <v>1.4999999999999999E-2</v>
      </c>
      <c r="M15" s="315">
        <f t="shared" si="5"/>
        <v>1.4285714285714285E-2</v>
      </c>
    </row>
    <row r="16" spans="1:13" ht="18.75" thickBot="1" x14ac:dyDescent="0.3">
      <c r="A16" s="185" t="s">
        <v>120</v>
      </c>
      <c r="B16" s="225">
        <f>SUM(B11:B15)</f>
        <v>1.3053892878787878</v>
      </c>
      <c r="C16" s="225">
        <f>SUM(C11:C15)</f>
        <v>1.2051785812672178</v>
      </c>
      <c r="D16" s="225">
        <f t="shared" ref="D16:H16" si="6">SUM(D11:D15)</f>
        <v>1.121669659090909</v>
      </c>
      <c r="E16" s="225">
        <f t="shared" si="6"/>
        <v>1.0510082634032634</v>
      </c>
      <c r="F16" s="232">
        <f t="shared" si="6"/>
        <v>0.99044135281385293</v>
      </c>
      <c r="G16" s="237">
        <f t="shared" si="6"/>
        <v>0.93795003030303037</v>
      </c>
      <c r="H16" s="238">
        <f t="shared" si="6"/>
        <v>0.8920201231060606</v>
      </c>
      <c r="I16" s="234">
        <f>SUM(I11:I15)</f>
        <v>0.85149373440285214</v>
      </c>
      <c r="J16" s="225">
        <f>SUM(J11:J15)</f>
        <v>0.81547027777777781</v>
      </c>
      <c r="K16" s="225">
        <f t="shared" ref="K16:M16" si="7">SUM(K11:K15)</f>
        <v>0.78323876395534298</v>
      </c>
      <c r="L16" s="225">
        <f t="shared" si="7"/>
        <v>0.75423040151515153</v>
      </c>
      <c r="M16" s="225">
        <f t="shared" si="7"/>
        <v>0.72798474025974025</v>
      </c>
    </row>
    <row r="17" spans="1:8" ht="15" thickBot="1" x14ac:dyDescent="0.25">
      <c r="G17" s="241"/>
      <c r="H17" s="242"/>
    </row>
    <row r="19" spans="1:8" ht="20.25" x14ac:dyDescent="0.3">
      <c r="A19" s="550" t="s">
        <v>174</v>
      </c>
      <c r="B19" s="550"/>
    </row>
    <row r="21" spans="1:8" ht="18" x14ac:dyDescent="0.25">
      <c r="A21" s="323" t="s">
        <v>175</v>
      </c>
      <c r="B21" s="316">
        <v>14</v>
      </c>
    </row>
    <row r="22" spans="1:8" ht="18" x14ac:dyDescent="0.25">
      <c r="A22" s="323" t="s">
        <v>176</v>
      </c>
      <c r="B22" s="316">
        <v>25</v>
      </c>
    </row>
  </sheetData>
  <sheetProtection password="DC5E" sheet="1" objects="1" scenarios="1" selectLockedCells="1"/>
  <mergeCells count="2">
    <mergeCell ref="A4:M4"/>
    <mergeCell ref="A19:B19"/>
  </mergeCells>
  <pageMargins left="0.7" right="0.7" top="0.78740157499999996" bottom="0.78740157499999996" header="0.3" footer="0.3"/>
  <pageSetup paperSize="9" scale="7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9" r:id="rId4">
          <objectPr defaultSize="0" autoPict="0" r:id="rId5">
            <anchor moveWithCells="1" sizeWithCells="1">
              <from>
                <xdr:col>4</xdr:col>
                <xdr:colOff>0</xdr:colOff>
                <xdr:row>0</xdr:row>
                <xdr:rowOff>9525</xdr:rowOff>
              </from>
              <to>
                <xdr:col>4</xdr:col>
                <xdr:colOff>0</xdr:colOff>
                <xdr:row>2</xdr:row>
                <xdr:rowOff>9525</xdr:rowOff>
              </to>
            </anchor>
          </objectPr>
        </oleObject>
      </mc:Choice>
      <mc:Fallback>
        <oleObject progId="Word.Picture.8" shapeId="1029" r:id="rId4"/>
      </mc:Fallback>
    </mc:AlternateContent>
    <mc:AlternateContent xmlns:mc="http://schemas.openxmlformats.org/markup-compatibility/2006">
      <mc:Choice Requires="x14">
        <oleObject progId="Word.Picture.8" shapeId="1030" r:id="rId6">
          <objectPr defaultSize="0" autoPict="0" r:id="rId5">
            <anchor moveWithCells="1" sizeWithCells="1">
              <from>
                <xdr:col>4</xdr:col>
                <xdr:colOff>561975</xdr:colOff>
                <xdr:row>0</xdr:row>
                <xdr:rowOff>9525</xdr:rowOff>
              </from>
              <to>
                <xdr:col>5</xdr:col>
                <xdr:colOff>361950</xdr:colOff>
                <xdr:row>2</xdr:row>
                <xdr:rowOff>9525</xdr:rowOff>
              </to>
            </anchor>
          </objectPr>
        </oleObject>
      </mc:Choice>
      <mc:Fallback>
        <oleObject progId="Word.Picture.8" shapeId="1030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>
    <tabColor rgb="FF92D050"/>
  </sheetPr>
  <dimension ref="A2:R119"/>
  <sheetViews>
    <sheetView zoomScale="90" zoomScaleNormal="90" zoomScalePageLayoutView="80" workbookViewId="0">
      <selection activeCell="K6" sqref="K6"/>
    </sheetView>
  </sheetViews>
  <sheetFormatPr baseColWidth="10" defaultRowHeight="14.25" x14ac:dyDescent="0.2"/>
  <cols>
    <col min="1" max="1" width="20.75" customWidth="1"/>
    <col min="2" max="2" width="5.625" customWidth="1"/>
    <col min="3" max="3" width="5.25" customWidth="1"/>
    <col min="4" max="4" width="4.75" customWidth="1"/>
    <col min="5" max="5" width="11.75" customWidth="1"/>
    <col min="6" max="6" width="7.75" customWidth="1"/>
    <col min="7" max="7" width="9" customWidth="1"/>
    <col min="8" max="8" width="14.875" customWidth="1"/>
    <col min="9" max="10" width="7.75" customWidth="1"/>
    <col min="11" max="11" width="10.75" customWidth="1"/>
    <col min="12" max="12" width="8" customWidth="1"/>
    <col min="13" max="13" width="8.75" customWidth="1"/>
    <col min="14" max="14" width="10.125" customWidth="1"/>
    <col min="15" max="15" width="24.75" customWidth="1"/>
    <col min="16" max="16" width="7.75" customWidth="1"/>
    <col min="17" max="17" width="6.25" customWidth="1"/>
    <col min="18" max="18" width="8.75" customWidth="1"/>
    <col min="19" max="19" width="10.375" customWidth="1"/>
  </cols>
  <sheetData>
    <row r="2" spans="1:15" ht="15.75" x14ac:dyDescent="0.3">
      <c r="A2" s="472" t="s">
        <v>178</v>
      </c>
    </row>
    <row r="3" spans="1:15" ht="15.75" x14ac:dyDescent="0.3">
      <c r="A3" s="472" t="s">
        <v>217</v>
      </c>
    </row>
    <row r="5" spans="1:15" ht="18" x14ac:dyDescent="0.25">
      <c r="A5" s="1" t="s">
        <v>18</v>
      </c>
    </row>
    <row r="6" spans="1:15" ht="18" x14ac:dyDescent="0.25">
      <c r="A6" s="2" t="s">
        <v>0</v>
      </c>
      <c r="B6" s="325" t="s">
        <v>292</v>
      </c>
      <c r="C6" s="326"/>
      <c r="D6" s="327"/>
      <c r="E6" s="327"/>
      <c r="F6" s="327"/>
      <c r="G6" s="327"/>
      <c r="H6" s="327"/>
      <c r="I6" t="s">
        <v>1</v>
      </c>
      <c r="K6" s="325" t="s">
        <v>49</v>
      </c>
    </row>
    <row r="7" spans="1:15" ht="14.45" x14ac:dyDescent="0.25">
      <c r="B7" s="327"/>
      <c r="C7" s="327"/>
      <c r="D7" s="327"/>
      <c r="E7" s="327"/>
      <c r="F7" s="327"/>
      <c r="G7" s="327"/>
      <c r="H7" s="327"/>
    </row>
    <row r="8" spans="1:15" ht="15" thickBot="1" x14ac:dyDescent="0.25">
      <c r="A8" t="s">
        <v>30</v>
      </c>
      <c r="B8">
        <v>1</v>
      </c>
      <c r="C8" t="s">
        <v>73</v>
      </c>
      <c r="M8" t="s">
        <v>3</v>
      </c>
    </row>
    <row r="9" spans="1:15" s="6" customFormat="1" ht="39" thickBot="1" x14ac:dyDescent="0.25">
      <c r="A9" s="3" t="s">
        <v>4</v>
      </c>
      <c r="B9" s="4" t="s">
        <v>5</v>
      </c>
      <c r="C9" s="4" t="s">
        <v>26</v>
      </c>
      <c r="D9" s="5" t="s">
        <v>6</v>
      </c>
      <c r="E9" s="3" t="s">
        <v>7</v>
      </c>
      <c r="F9" s="4" t="s">
        <v>12</v>
      </c>
      <c r="G9" s="5" t="s">
        <v>13</v>
      </c>
      <c r="H9" s="3" t="s">
        <v>8</v>
      </c>
      <c r="I9" s="4" t="s">
        <v>12</v>
      </c>
      <c r="J9" s="5" t="s">
        <v>13</v>
      </c>
      <c r="K9" s="3" t="s">
        <v>9</v>
      </c>
      <c r="L9" s="4" t="s">
        <v>12</v>
      </c>
      <c r="M9" s="5" t="s">
        <v>13</v>
      </c>
      <c r="N9" s="10" t="s">
        <v>10</v>
      </c>
    </row>
    <row r="10" spans="1:15" s="6" customFormat="1" ht="12.75" x14ac:dyDescent="0.2">
      <c r="A10" s="328" t="s">
        <v>218</v>
      </c>
      <c r="B10" s="329">
        <f>'Einzelkosten Vollertrag'!C38</f>
        <v>2</v>
      </c>
      <c r="C10" s="329">
        <f>B10</f>
        <v>2</v>
      </c>
      <c r="D10" s="330">
        <v>2</v>
      </c>
      <c r="E10" s="328" t="s">
        <v>287</v>
      </c>
      <c r="F10" s="332"/>
      <c r="G10" s="333">
        <v>750</v>
      </c>
      <c r="H10" s="334"/>
      <c r="I10" s="335"/>
      <c r="J10" s="335"/>
      <c r="K10" s="328"/>
      <c r="L10" s="335"/>
      <c r="M10" s="333"/>
      <c r="N10" s="357">
        <f t="shared" ref="N10:N32" si="0">D10*(F10+I10+L10)+G10+J10+M10</f>
        <v>750</v>
      </c>
    </row>
    <row r="11" spans="1:15" s="6" customFormat="1" ht="12.75" x14ac:dyDescent="0.2">
      <c r="A11" s="331" t="s">
        <v>219</v>
      </c>
      <c r="B11" s="329">
        <f>'Einzelkosten Vollertrag'!C39</f>
        <v>5</v>
      </c>
      <c r="C11" s="329"/>
      <c r="D11" s="330">
        <v>2</v>
      </c>
      <c r="E11" s="331" t="s">
        <v>249</v>
      </c>
      <c r="F11" s="332">
        <v>14.3</v>
      </c>
      <c r="G11" s="333"/>
      <c r="H11" s="334" t="s">
        <v>285</v>
      </c>
      <c r="I11" s="335"/>
      <c r="J11" s="335">
        <v>2</v>
      </c>
      <c r="K11" s="328"/>
      <c r="L11" s="335"/>
      <c r="M11" s="333"/>
      <c r="N11" s="357">
        <f t="shared" si="0"/>
        <v>30.6</v>
      </c>
    </row>
    <row r="12" spans="1:15" s="6" customFormat="1" ht="12.75" x14ac:dyDescent="0.2">
      <c r="A12" s="331" t="s">
        <v>280</v>
      </c>
      <c r="B12" s="329">
        <v>4</v>
      </c>
      <c r="C12" s="329"/>
      <c r="D12" s="330">
        <v>4</v>
      </c>
      <c r="E12" s="331" t="s">
        <v>249</v>
      </c>
      <c r="F12" s="332">
        <v>14.3</v>
      </c>
      <c r="G12" s="333"/>
      <c r="H12" s="334" t="s">
        <v>281</v>
      </c>
      <c r="I12" s="335">
        <v>1.7</v>
      </c>
      <c r="J12" s="335"/>
      <c r="K12" s="328"/>
      <c r="L12" s="335"/>
      <c r="M12" s="333"/>
      <c r="N12" s="357">
        <f>D12*(F12+I12+L12)+G12+J12+M12</f>
        <v>64</v>
      </c>
      <c r="O12" s="171"/>
    </row>
    <row r="13" spans="1:15" s="6" customFormat="1" ht="12.75" x14ac:dyDescent="0.2">
      <c r="A13" s="336" t="s">
        <v>269</v>
      </c>
      <c r="B13" s="329">
        <v>3</v>
      </c>
      <c r="C13" s="329"/>
      <c r="D13" s="330">
        <v>3</v>
      </c>
      <c r="E13" s="331" t="s">
        <v>249</v>
      </c>
      <c r="F13" s="332">
        <v>14.3</v>
      </c>
      <c r="G13" s="333"/>
      <c r="H13" s="337" t="s">
        <v>254</v>
      </c>
      <c r="I13" s="335"/>
      <c r="J13" s="335">
        <v>0.8</v>
      </c>
      <c r="K13" s="328" t="s">
        <v>255</v>
      </c>
      <c r="L13" s="335"/>
      <c r="M13" s="333">
        <v>0.45</v>
      </c>
      <c r="N13" s="357">
        <f>D13*(F13+I13+L13)+G13+J13*2+M13</f>
        <v>44.95000000000001</v>
      </c>
      <c r="O13" s="171"/>
    </row>
    <row r="14" spans="1:15" s="6" customFormat="1" ht="12.75" x14ac:dyDescent="0.2">
      <c r="A14" s="331" t="s">
        <v>288</v>
      </c>
      <c r="B14" s="329">
        <v>14</v>
      </c>
      <c r="C14" s="329"/>
      <c r="D14" s="330">
        <v>14</v>
      </c>
      <c r="E14" s="328" t="s">
        <v>249</v>
      </c>
      <c r="F14" s="335">
        <v>14.3</v>
      </c>
      <c r="G14" s="333"/>
      <c r="H14" s="328" t="s">
        <v>271</v>
      </c>
      <c r="I14" s="335"/>
      <c r="J14" s="335">
        <v>2.4</v>
      </c>
      <c r="K14" s="328"/>
      <c r="L14" s="335"/>
      <c r="M14" s="333"/>
      <c r="N14" s="357">
        <f>D14*(F14+I14+L14)+G14+J14*7+M14</f>
        <v>217.00000000000003</v>
      </c>
      <c r="O14" s="170"/>
    </row>
    <row r="15" spans="1:15" s="6" customFormat="1" ht="12.75" x14ac:dyDescent="0.2">
      <c r="A15" s="331" t="s">
        <v>289</v>
      </c>
      <c r="B15" s="329">
        <v>5</v>
      </c>
      <c r="C15" s="329"/>
      <c r="D15" s="330">
        <v>5</v>
      </c>
      <c r="E15" s="328" t="s">
        <v>249</v>
      </c>
      <c r="F15" s="335">
        <v>14.3</v>
      </c>
      <c r="G15" s="333"/>
      <c r="H15" s="334" t="s">
        <v>273</v>
      </c>
      <c r="I15" s="335"/>
      <c r="J15" s="335">
        <v>5.2</v>
      </c>
      <c r="K15" s="328"/>
      <c r="L15" s="335"/>
      <c r="M15" s="333"/>
      <c r="N15" s="357">
        <f>D15*(F15+I15+L15)+G15+J15*5+M15</f>
        <v>97.5</v>
      </c>
      <c r="O15" s="170"/>
    </row>
    <row r="16" spans="1:15" s="6" customFormat="1" ht="12.75" x14ac:dyDescent="0.2">
      <c r="A16" s="331" t="s">
        <v>284</v>
      </c>
      <c r="B16" s="329">
        <v>2</v>
      </c>
      <c r="C16" s="329"/>
      <c r="D16" s="330">
        <v>2</v>
      </c>
      <c r="E16" s="328" t="s">
        <v>249</v>
      </c>
      <c r="F16" s="335">
        <v>14.3</v>
      </c>
      <c r="G16" s="333"/>
      <c r="H16" s="328" t="s">
        <v>290</v>
      </c>
      <c r="I16" s="335"/>
      <c r="J16" s="335">
        <v>1.5</v>
      </c>
      <c r="K16" s="328"/>
      <c r="L16" s="335"/>
      <c r="M16" s="333"/>
      <c r="N16" s="357">
        <f>D16*(F16+I16+L16)+G16+J16*2+M16</f>
        <v>31.6</v>
      </c>
      <c r="O16" s="170"/>
    </row>
    <row r="17" spans="1:15" s="6" customFormat="1" ht="12.75" x14ac:dyDescent="0.2">
      <c r="A17" s="328" t="s">
        <v>291</v>
      </c>
      <c r="B17" s="338">
        <v>5</v>
      </c>
      <c r="C17" s="338"/>
      <c r="D17" s="339">
        <v>5</v>
      </c>
      <c r="E17" s="331" t="s">
        <v>262</v>
      </c>
      <c r="F17" s="335">
        <v>10</v>
      </c>
      <c r="G17" s="333"/>
      <c r="H17" s="328"/>
      <c r="I17" s="335"/>
      <c r="J17" s="335"/>
      <c r="K17" s="331"/>
      <c r="L17" s="335"/>
      <c r="M17" s="333"/>
      <c r="N17" s="357">
        <f>D17*(F17+I17+L17)+G17+J17+M17</f>
        <v>50</v>
      </c>
    </row>
    <row r="18" spans="1:15" s="6" customFormat="1" ht="12.75" x14ac:dyDescent="0.2">
      <c r="A18" s="328" t="s">
        <v>286</v>
      </c>
      <c r="B18" s="338">
        <v>4</v>
      </c>
      <c r="C18" s="338">
        <v>4</v>
      </c>
      <c r="D18" s="339">
        <v>1</v>
      </c>
      <c r="E18" s="331" t="s">
        <v>262</v>
      </c>
      <c r="F18" s="335">
        <v>10</v>
      </c>
      <c r="G18" s="333"/>
      <c r="H18" s="328"/>
      <c r="I18" s="335"/>
      <c r="J18" s="335"/>
      <c r="K18" s="331"/>
      <c r="L18" s="335"/>
      <c r="M18" s="333"/>
      <c r="N18" s="357">
        <f>D18*(F18+I18+L18)+G18+J18+M18</f>
        <v>10</v>
      </c>
    </row>
    <row r="19" spans="1:15" s="6" customFormat="1" ht="12.75" x14ac:dyDescent="0.2">
      <c r="A19" s="340"/>
      <c r="B19" s="341"/>
      <c r="C19" s="341"/>
      <c r="D19" s="342"/>
      <c r="E19" s="343"/>
      <c r="F19" s="344"/>
      <c r="G19" s="345"/>
      <c r="H19" s="340"/>
      <c r="I19" s="344"/>
      <c r="J19" s="344"/>
      <c r="K19" s="343"/>
      <c r="L19" s="344"/>
      <c r="M19" s="345"/>
      <c r="N19" s="357">
        <f t="shared" si="0"/>
        <v>0</v>
      </c>
    </row>
    <row r="20" spans="1:15" s="6" customFormat="1" ht="12.75" x14ac:dyDescent="0.2">
      <c r="A20" s="340"/>
      <c r="B20" s="341"/>
      <c r="C20" s="341"/>
      <c r="D20" s="342"/>
      <c r="E20" s="343"/>
      <c r="F20" s="344"/>
      <c r="G20" s="345"/>
      <c r="H20" s="346"/>
      <c r="I20" s="344"/>
      <c r="J20" s="344"/>
      <c r="K20" s="340"/>
      <c r="L20" s="344"/>
      <c r="M20" s="345"/>
      <c r="N20" s="357">
        <f t="shared" si="0"/>
        <v>0</v>
      </c>
    </row>
    <row r="21" spans="1:15" s="6" customFormat="1" ht="12.75" x14ac:dyDescent="0.2">
      <c r="A21" s="340"/>
      <c r="B21" s="341"/>
      <c r="C21" s="341"/>
      <c r="D21" s="342"/>
      <c r="E21" s="343"/>
      <c r="F21" s="344"/>
      <c r="G21" s="345"/>
      <c r="H21" s="340"/>
      <c r="I21" s="344"/>
      <c r="J21" s="344"/>
      <c r="K21" s="340"/>
      <c r="L21" s="344"/>
      <c r="M21" s="345"/>
      <c r="N21" s="357">
        <f t="shared" si="0"/>
        <v>0</v>
      </c>
    </row>
    <row r="22" spans="1:15" s="6" customFormat="1" ht="12.75" x14ac:dyDescent="0.2">
      <c r="A22" s="343"/>
      <c r="B22" s="347"/>
      <c r="C22" s="347"/>
      <c r="D22" s="348"/>
      <c r="E22" s="343"/>
      <c r="F22" s="349"/>
      <c r="G22" s="345"/>
      <c r="H22" s="350"/>
      <c r="I22" s="344"/>
      <c r="J22" s="344"/>
      <c r="K22" s="340"/>
      <c r="L22" s="344"/>
      <c r="M22" s="345"/>
      <c r="N22" s="357">
        <f t="shared" si="0"/>
        <v>0</v>
      </c>
    </row>
    <row r="23" spans="1:15" s="6" customFormat="1" ht="12.75" x14ac:dyDescent="0.2">
      <c r="A23" s="343"/>
      <c r="B23" s="347"/>
      <c r="C23" s="347"/>
      <c r="D23" s="348"/>
      <c r="E23" s="343"/>
      <c r="F23" s="349"/>
      <c r="G23" s="345"/>
      <c r="H23" s="350"/>
      <c r="I23" s="344"/>
      <c r="J23" s="344"/>
      <c r="K23" s="340"/>
      <c r="L23" s="344"/>
      <c r="M23" s="345"/>
      <c r="N23" s="357">
        <f t="shared" si="0"/>
        <v>0</v>
      </c>
    </row>
    <row r="24" spans="1:15" s="6" customFormat="1" ht="12.75" x14ac:dyDescent="0.2">
      <c r="A24" s="340"/>
      <c r="B24" s="347"/>
      <c r="C24" s="347"/>
      <c r="D24" s="348"/>
      <c r="E24" s="343"/>
      <c r="F24" s="349"/>
      <c r="G24" s="345"/>
      <c r="H24" s="350"/>
      <c r="I24" s="344"/>
      <c r="J24" s="344"/>
      <c r="K24" s="340"/>
      <c r="L24" s="344"/>
      <c r="M24" s="345"/>
      <c r="N24" s="357">
        <f t="shared" si="0"/>
        <v>0</v>
      </c>
    </row>
    <row r="25" spans="1:15" s="6" customFormat="1" ht="12.75" x14ac:dyDescent="0.2">
      <c r="A25" s="331"/>
      <c r="B25" s="347"/>
      <c r="C25" s="347"/>
      <c r="D25" s="348"/>
      <c r="E25" s="343"/>
      <c r="F25" s="349"/>
      <c r="G25" s="345"/>
      <c r="H25" s="350"/>
      <c r="I25" s="344"/>
      <c r="J25" s="344"/>
      <c r="K25" s="340"/>
      <c r="L25" s="344"/>
      <c r="M25" s="345"/>
      <c r="N25" s="357">
        <f t="shared" si="0"/>
        <v>0</v>
      </c>
      <c r="O25" s="170"/>
    </row>
    <row r="26" spans="1:15" s="6" customFormat="1" ht="12.75" x14ac:dyDescent="0.2">
      <c r="A26" s="331"/>
      <c r="B26" s="347"/>
      <c r="C26" s="347"/>
      <c r="D26" s="348"/>
      <c r="E26" s="343"/>
      <c r="F26" s="349"/>
      <c r="G26" s="345"/>
      <c r="H26" s="350"/>
      <c r="I26" s="344"/>
      <c r="J26" s="344"/>
      <c r="K26" s="340"/>
      <c r="L26" s="344"/>
      <c r="M26" s="345"/>
      <c r="N26" s="357">
        <f t="shared" si="0"/>
        <v>0</v>
      </c>
    </row>
    <row r="27" spans="1:15" s="6" customFormat="1" ht="12.75" x14ac:dyDescent="0.2">
      <c r="A27" s="343"/>
      <c r="B27" s="347"/>
      <c r="C27" s="347"/>
      <c r="D27" s="348"/>
      <c r="E27" s="343"/>
      <c r="F27" s="349"/>
      <c r="G27" s="345"/>
      <c r="H27" s="350"/>
      <c r="I27" s="344"/>
      <c r="J27" s="344"/>
      <c r="K27" s="340"/>
      <c r="L27" s="344"/>
      <c r="M27" s="345"/>
      <c r="N27" s="357">
        <f t="shared" si="0"/>
        <v>0</v>
      </c>
    </row>
    <row r="28" spans="1:15" s="6" customFormat="1" ht="12.75" x14ac:dyDescent="0.2">
      <c r="A28" s="343"/>
      <c r="B28" s="347"/>
      <c r="C28" s="347"/>
      <c r="D28" s="348"/>
      <c r="E28" s="343"/>
      <c r="F28" s="349"/>
      <c r="G28" s="345"/>
      <c r="H28" s="350"/>
      <c r="I28" s="344"/>
      <c r="J28" s="344"/>
      <c r="K28" s="340"/>
      <c r="L28" s="344"/>
      <c r="M28" s="345"/>
      <c r="N28" s="357">
        <f t="shared" si="0"/>
        <v>0</v>
      </c>
    </row>
    <row r="29" spans="1:15" s="6" customFormat="1" ht="12.75" x14ac:dyDescent="0.2">
      <c r="A29" s="343"/>
      <c r="B29" s="347"/>
      <c r="C29" s="347"/>
      <c r="D29" s="348"/>
      <c r="E29" s="343"/>
      <c r="F29" s="349"/>
      <c r="G29" s="345"/>
      <c r="H29" s="350"/>
      <c r="I29" s="344"/>
      <c r="J29" s="344"/>
      <c r="K29" s="340"/>
      <c r="L29" s="344"/>
      <c r="M29" s="345"/>
      <c r="N29" s="357">
        <f t="shared" si="0"/>
        <v>0</v>
      </c>
    </row>
    <row r="30" spans="1:15" s="6" customFormat="1" ht="12.75" x14ac:dyDescent="0.2">
      <c r="A30" s="343"/>
      <c r="B30" s="347"/>
      <c r="C30" s="347"/>
      <c r="D30" s="348"/>
      <c r="E30" s="343"/>
      <c r="F30" s="349"/>
      <c r="G30" s="345"/>
      <c r="H30" s="350"/>
      <c r="I30" s="344"/>
      <c r="J30" s="344"/>
      <c r="K30" s="340"/>
      <c r="L30" s="344"/>
      <c r="M30" s="345"/>
      <c r="N30" s="357">
        <f t="shared" si="0"/>
        <v>0</v>
      </c>
    </row>
    <row r="31" spans="1:15" s="6" customFormat="1" ht="12.75" x14ac:dyDescent="0.2">
      <c r="A31" s="343"/>
      <c r="B31" s="347"/>
      <c r="C31" s="347"/>
      <c r="D31" s="348"/>
      <c r="E31" s="343"/>
      <c r="F31" s="349"/>
      <c r="G31" s="345"/>
      <c r="H31" s="350"/>
      <c r="I31" s="344"/>
      <c r="J31" s="344"/>
      <c r="K31" s="340"/>
      <c r="L31" s="344"/>
      <c r="M31" s="345"/>
      <c r="N31" s="357">
        <f t="shared" si="0"/>
        <v>0</v>
      </c>
    </row>
    <row r="32" spans="1:15" s="6" customFormat="1" ht="12.75" x14ac:dyDescent="0.2">
      <c r="A32" s="343"/>
      <c r="B32" s="347"/>
      <c r="C32" s="347"/>
      <c r="D32" s="348"/>
      <c r="E32" s="343"/>
      <c r="F32" s="349"/>
      <c r="G32" s="345"/>
      <c r="H32" s="350"/>
      <c r="I32" s="344"/>
      <c r="J32" s="344"/>
      <c r="K32" s="340"/>
      <c r="L32" s="344"/>
      <c r="M32" s="345"/>
      <c r="N32" s="357">
        <f t="shared" si="0"/>
        <v>0</v>
      </c>
    </row>
    <row r="33" spans="1:14" s="6" customFormat="1" ht="13.7" customHeight="1" x14ac:dyDescent="0.25">
      <c r="A33" s="340"/>
      <c r="B33" s="341"/>
      <c r="C33" s="341"/>
      <c r="D33" s="342"/>
      <c r="E33" s="343"/>
      <c r="F33" s="344"/>
      <c r="G33" s="345"/>
      <c r="H33" s="340"/>
      <c r="I33" s="344"/>
      <c r="J33" s="344"/>
      <c r="K33" s="343"/>
      <c r="L33" s="344"/>
      <c r="M33" s="345"/>
      <c r="N33" s="357">
        <f t="shared" ref="N33:N38" si="1">D33*(F33+I33+L33)+G33+J33+M33</f>
        <v>0</v>
      </c>
    </row>
    <row r="34" spans="1:14" s="6" customFormat="1" ht="13.7" customHeight="1" x14ac:dyDescent="0.2">
      <c r="A34" s="340"/>
      <c r="B34" s="341"/>
      <c r="C34" s="341"/>
      <c r="D34" s="342"/>
      <c r="E34" s="343"/>
      <c r="F34" s="344"/>
      <c r="G34" s="345"/>
      <c r="H34" s="340"/>
      <c r="I34" s="344"/>
      <c r="J34" s="344"/>
      <c r="K34" s="343"/>
      <c r="L34" s="344"/>
      <c r="M34" s="345"/>
      <c r="N34" s="357">
        <f t="shared" si="1"/>
        <v>0</v>
      </c>
    </row>
    <row r="35" spans="1:14" s="6" customFormat="1" ht="13.7" customHeight="1" x14ac:dyDescent="0.2">
      <c r="A35" s="343"/>
      <c r="B35" s="347"/>
      <c r="C35" s="347"/>
      <c r="D35" s="348"/>
      <c r="E35" s="340"/>
      <c r="F35" s="344"/>
      <c r="G35" s="345"/>
      <c r="H35" s="340"/>
      <c r="I35" s="344"/>
      <c r="J35" s="344"/>
      <c r="K35" s="340"/>
      <c r="L35" s="344"/>
      <c r="M35" s="345"/>
      <c r="N35" s="357">
        <f t="shared" si="1"/>
        <v>0</v>
      </c>
    </row>
    <row r="36" spans="1:14" s="6" customFormat="1" ht="13.7" customHeight="1" x14ac:dyDescent="0.2">
      <c r="A36" s="343"/>
      <c r="B36" s="347"/>
      <c r="C36" s="347"/>
      <c r="D36" s="348"/>
      <c r="E36" s="340"/>
      <c r="F36" s="344"/>
      <c r="G36" s="345"/>
      <c r="H36" s="340"/>
      <c r="I36" s="344"/>
      <c r="J36" s="344"/>
      <c r="K36" s="340"/>
      <c r="L36" s="344"/>
      <c r="M36" s="345"/>
      <c r="N36" s="357">
        <f t="shared" si="1"/>
        <v>0</v>
      </c>
    </row>
    <row r="37" spans="1:14" s="6" customFormat="1" ht="13.7" customHeight="1" x14ac:dyDescent="0.2">
      <c r="A37" s="343"/>
      <c r="B37" s="347"/>
      <c r="C37" s="347"/>
      <c r="D37" s="348"/>
      <c r="E37" s="340"/>
      <c r="F37" s="344"/>
      <c r="G37" s="345"/>
      <c r="H37" s="340"/>
      <c r="I37" s="344"/>
      <c r="J37" s="344"/>
      <c r="K37" s="340"/>
      <c r="L37" s="344"/>
      <c r="M37" s="345"/>
      <c r="N37" s="357">
        <f t="shared" si="1"/>
        <v>0</v>
      </c>
    </row>
    <row r="38" spans="1:14" s="6" customFormat="1" ht="13.7" customHeight="1" thickBot="1" x14ac:dyDescent="0.25">
      <c r="A38" s="351"/>
      <c r="B38" s="352"/>
      <c r="C38" s="352"/>
      <c r="D38" s="353"/>
      <c r="E38" s="354"/>
      <c r="F38" s="355"/>
      <c r="G38" s="356"/>
      <c r="H38" s="354"/>
      <c r="I38" s="344"/>
      <c r="J38" s="344"/>
      <c r="K38" s="354"/>
      <c r="L38" s="355"/>
      <c r="M38" s="356"/>
      <c r="N38" s="358">
        <f t="shared" si="1"/>
        <v>0</v>
      </c>
    </row>
    <row r="39" spans="1:14" s="6" customFormat="1" ht="13.7" customHeight="1" thickBot="1" x14ac:dyDescent="0.3">
      <c r="A39" s="22" t="s">
        <v>11</v>
      </c>
      <c r="B39" s="23">
        <f>SUM(B10:B38)</f>
        <v>44</v>
      </c>
      <c r="C39" s="23">
        <f>SUM(C10:C38)</f>
        <v>6</v>
      </c>
      <c r="D39" s="23">
        <f>SUM(D10:D38)</f>
        <v>38</v>
      </c>
      <c r="E39" s="22"/>
      <c r="F39" s="24"/>
      <c r="G39" s="25"/>
      <c r="H39" s="22"/>
      <c r="I39" s="26"/>
      <c r="J39" s="27"/>
      <c r="K39" s="22" t="s">
        <v>11</v>
      </c>
      <c r="L39" s="28"/>
      <c r="M39" s="29"/>
      <c r="N39" s="162">
        <f>SUM(N10:N38)</f>
        <v>1295.6500000000001</v>
      </c>
    </row>
    <row r="40" spans="1:14" s="6" customFormat="1" ht="12.75" x14ac:dyDescent="0.2">
      <c r="A40" s="6" t="s">
        <v>16</v>
      </c>
      <c r="E40" s="7" t="s">
        <v>14</v>
      </c>
    </row>
    <row r="41" spans="1:14" s="6" customFormat="1" ht="12.75" x14ac:dyDescent="0.2">
      <c r="A41" s="6" t="s">
        <v>17</v>
      </c>
      <c r="E41" s="7" t="s">
        <v>15</v>
      </c>
    </row>
    <row r="42" spans="1:14" s="6" customFormat="1" ht="12.75" x14ac:dyDescent="0.2">
      <c r="E42" s="7"/>
    </row>
    <row r="43" spans="1:14" s="6" customFormat="1" ht="15.75" x14ac:dyDescent="0.3">
      <c r="A43" s="472" t="s">
        <v>178</v>
      </c>
      <c r="B43"/>
      <c r="C43"/>
      <c r="D43"/>
      <c r="E43"/>
      <c r="F43"/>
      <c r="G43"/>
      <c r="H43"/>
      <c r="I43"/>
    </row>
    <row r="44" spans="1:14" s="6" customFormat="1" ht="15.75" x14ac:dyDescent="0.3">
      <c r="A44" s="472" t="s">
        <v>217</v>
      </c>
      <c r="B44"/>
      <c r="C44"/>
      <c r="D44"/>
      <c r="E44"/>
      <c r="F44"/>
      <c r="G44"/>
      <c r="H44"/>
      <c r="I44"/>
    </row>
    <row r="45" spans="1:14" s="6" customFormat="1" x14ac:dyDescent="0.2">
      <c r="A45"/>
      <c r="B45"/>
      <c r="C45"/>
      <c r="D45"/>
      <c r="E45"/>
      <c r="F45"/>
      <c r="G45"/>
      <c r="H45"/>
      <c r="I45"/>
    </row>
    <row r="46" spans="1:14" ht="18" x14ac:dyDescent="0.25">
      <c r="A46" s="1" t="s">
        <v>18</v>
      </c>
    </row>
    <row r="47" spans="1:14" ht="18" x14ac:dyDescent="0.25">
      <c r="A47" s="2" t="s">
        <v>0</v>
      </c>
      <c r="B47" s="325" t="s">
        <v>292</v>
      </c>
      <c r="C47" s="326"/>
      <c r="D47" s="327"/>
      <c r="E47" s="327"/>
      <c r="F47" s="327"/>
      <c r="G47" s="327"/>
      <c r="H47" s="327"/>
      <c r="I47" t="s">
        <v>1</v>
      </c>
      <c r="K47" s="325" t="s">
        <v>19</v>
      </c>
    </row>
    <row r="48" spans="1:14" x14ac:dyDescent="0.2">
      <c r="B48" s="327"/>
      <c r="C48" s="327"/>
      <c r="D48" s="327"/>
      <c r="E48" s="327"/>
      <c r="F48" s="327"/>
      <c r="G48" s="327"/>
      <c r="H48" s="327"/>
    </row>
    <row r="49" spans="1:15" ht="15" thickBot="1" x14ac:dyDescent="0.25">
      <c r="A49" t="s">
        <v>30</v>
      </c>
      <c r="B49">
        <v>1</v>
      </c>
      <c r="C49" t="s">
        <v>73</v>
      </c>
      <c r="M49" t="s">
        <v>3</v>
      </c>
    </row>
    <row r="50" spans="1:15" ht="39" thickBot="1" x14ac:dyDescent="0.25">
      <c r="A50" s="3" t="s">
        <v>4</v>
      </c>
      <c r="B50" s="4" t="s">
        <v>5</v>
      </c>
      <c r="C50" s="4" t="s">
        <v>26</v>
      </c>
      <c r="D50" s="5" t="s">
        <v>6</v>
      </c>
      <c r="E50" s="3" t="s">
        <v>7</v>
      </c>
      <c r="F50" s="4" t="s">
        <v>12</v>
      </c>
      <c r="G50" s="5" t="s">
        <v>13</v>
      </c>
      <c r="H50" s="3" t="s">
        <v>8</v>
      </c>
      <c r="I50" s="4" t="s">
        <v>12</v>
      </c>
      <c r="J50" s="5" t="s">
        <v>13</v>
      </c>
      <c r="K50" s="3" t="s">
        <v>9</v>
      </c>
      <c r="L50" s="4" t="s">
        <v>12</v>
      </c>
      <c r="M50" s="5" t="s">
        <v>13</v>
      </c>
      <c r="N50" s="10" t="s">
        <v>10</v>
      </c>
      <c r="O50" s="171"/>
    </row>
    <row r="51" spans="1:15" x14ac:dyDescent="0.2">
      <c r="A51" s="340" t="s">
        <v>218</v>
      </c>
      <c r="B51" s="341">
        <f>'Einzelkosten Junganlage'!C38</f>
        <v>2</v>
      </c>
      <c r="C51" s="341">
        <f>B51</f>
        <v>2</v>
      </c>
      <c r="D51" s="342">
        <v>2</v>
      </c>
      <c r="E51" s="350" t="s">
        <v>287</v>
      </c>
      <c r="F51" s="344"/>
      <c r="G51" s="345">
        <v>600</v>
      </c>
      <c r="H51" s="359"/>
      <c r="I51" s="344"/>
      <c r="J51" s="344"/>
      <c r="K51" s="360"/>
      <c r="L51" s="344"/>
      <c r="M51" s="361"/>
      <c r="N51" s="357">
        <f t="shared" ref="N51:N75" si="2">D51*(F51+I51+L51)+G51+J51+M51</f>
        <v>600</v>
      </c>
    </row>
    <row r="52" spans="1:15" ht="13.7" customHeight="1" x14ac:dyDescent="0.2">
      <c r="A52" s="343" t="s">
        <v>219</v>
      </c>
      <c r="B52" s="347">
        <f>'Einzelkosten Junganlage'!C39</f>
        <v>5</v>
      </c>
      <c r="C52" s="347"/>
      <c r="D52" s="348">
        <v>2</v>
      </c>
      <c r="E52" s="343" t="s">
        <v>249</v>
      </c>
      <c r="F52" s="349">
        <v>14.3</v>
      </c>
      <c r="G52" s="345"/>
      <c r="H52" s="340" t="s">
        <v>285</v>
      </c>
      <c r="I52" s="344"/>
      <c r="J52" s="344">
        <v>2</v>
      </c>
      <c r="K52" s="340"/>
      <c r="L52" s="344"/>
      <c r="M52" s="345"/>
      <c r="N52" s="357">
        <f t="shared" si="2"/>
        <v>30.6</v>
      </c>
    </row>
    <row r="53" spans="1:15" ht="13.7" customHeight="1" x14ac:dyDescent="0.2">
      <c r="A53" s="343" t="s">
        <v>280</v>
      </c>
      <c r="B53" s="347">
        <v>2</v>
      </c>
      <c r="C53" s="347"/>
      <c r="D53" s="348">
        <v>2</v>
      </c>
      <c r="E53" s="350" t="s">
        <v>249</v>
      </c>
      <c r="F53" s="344">
        <v>14.3</v>
      </c>
      <c r="G53" s="345"/>
      <c r="H53" s="350" t="s">
        <v>281</v>
      </c>
      <c r="I53" s="344">
        <v>1.7</v>
      </c>
      <c r="J53" s="344"/>
      <c r="K53" s="340"/>
      <c r="L53" s="344"/>
      <c r="M53" s="345"/>
      <c r="N53" s="357">
        <f t="shared" ref="N53:N58" si="3">D53*(F53+I53+L53)+G53+J53+M53</f>
        <v>32</v>
      </c>
    </row>
    <row r="54" spans="1:15" ht="13.7" customHeight="1" x14ac:dyDescent="0.2">
      <c r="A54" s="343" t="s">
        <v>269</v>
      </c>
      <c r="B54" s="347">
        <v>3</v>
      </c>
      <c r="C54" s="347"/>
      <c r="D54" s="348">
        <v>3</v>
      </c>
      <c r="E54" s="340" t="s">
        <v>249</v>
      </c>
      <c r="F54" s="344">
        <v>14.3</v>
      </c>
      <c r="G54" s="345"/>
      <c r="H54" s="350" t="s">
        <v>254</v>
      </c>
      <c r="I54" s="344"/>
      <c r="J54" s="344">
        <v>0.8</v>
      </c>
      <c r="K54" s="340" t="s">
        <v>255</v>
      </c>
      <c r="L54" s="344"/>
      <c r="M54" s="345">
        <v>0.45</v>
      </c>
      <c r="N54" s="357">
        <f>D54*(F54+I54+L54)+G54+J54*2+M54*2</f>
        <v>45.400000000000006</v>
      </c>
    </row>
    <row r="55" spans="1:15" ht="13.7" customHeight="1" x14ac:dyDescent="0.2">
      <c r="A55" s="343" t="s">
        <v>282</v>
      </c>
      <c r="B55" s="347">
        <v>10</v>
      </c>
      <c r="C55" s="347"/>
      <c r="D55" s="348">
        <v>10</v>
      </c>
      <c r="E55" s="340" t="s">
        <v>249</v>
      </c>
      <c r="F55" s="344">
        <v>14.3</v>
      </c>
      <c r="G55" s="345"/>
      <c r="H55" s="340" t="s">
        <v>271</v>
      </c>
      <c r="I55" s="344"/>
      <c r="J55" s="344">
        <v>2.4</v>
      </c>
      <c r="K55" s="340"/>
      <c r="L55" s="344"/>
      <c r="M55" s="345"/>
      <c r="N55" s="357">
        <f>D55*(F55+I55+L55)+G55+J55*5+M55</f>
        <v>155</v>
      </c>
    </row>
    <row r="56" spans="1:15" ht="13.7" customHeight="1" x14ac:dyDescent="0.2">
      <c r="A56" s="343" t="s">
        <v>283</v>
      </c>
      <c r="B56" s="347">
        <v>5</v>
      </c>
      <c r="C56" s="347"/>
      <c r="D56" s="348">
        <v>5</v>
      </c>
      <c r="E56" s="340" t="s">
        <v>249</v>
      </c>
      <c r="F56" s="344">
        <v>14.3</v>
      </c>
      <c r="G56" s="345"/>
      <c r="H56" s="340" t="s">
        <v>273</v>
      </c>
      <c r="I56" s="344"/>
      <c r="J56" s="344">
        <v>5.2</v>
      </c>
      <c r="K56" s="340"/>
      <c r="L56" s="344"/>
      <c r="M56" s="345"/>
      <c r="N56" s="357">
        <f>D56*(F56+I56+L56)+G56+J56*5+M56</f>
        <v>97.5</v>
      </c>
    </row>
    <row r="57" spans="1:15" ht="13.7" customHeight="1" x14ac:dyDescent="0.2">
      <c r="A57" s="340" t="s">
        <v>284</v>
      </c>
      <c r="B57" s="341">
        <v>2</v>
      </c>
      <c r="C57" s="341"/>
      <c r="D57" s="342">
        <v>2</v>
      </c>
      <c r="E57" s="343" t="s">
        <v>249</v>
      </c>
      <c r="F57" s="344">
        <v>14.3</v>
      </c>
      <c r="G57" s="345"/>
      <c r="H57" s="340" t="s">
        <v>275</v>
      </c>
      <c r="I57" s="344"/>
      <c r="J57" s="344">
        <v>1.5</v>
      </c>
      <c r="K57" s="343"/>
      <c r="L57" s="344"/>
      <c r="M57" s="345"/>
      <c r="N57" s="357">
        <f>D57*(F57+I57+L57)+G57+J57*2+M57</f>
        <v>31.6</v>
      </c>
    </row>
    <row r="58" spans="1:15" ht="13.7" customHeight="1" x14ac:dyDescent="0.2">
      <c r="A58" s="340" t="s">
        <v>286</v>
      </c>
      <c r="B58" s="341">
        <v>2</v>
      </c>
      <c r="C58" s="341">
        <v>2</v>
      </c>
      <c r="D58" s="342">
        <v>1</v>
      </c>
      <c r="E58" s="343" t="s">
        <v>262</v>
      </c>
      <c r="F58" s="344">
        <v>10</v>
      </c>
      <c r="G58" s="345"/>
      <c r="H58" s="340"/>
      <c r="I58" s="344"/>
      <c r="J58" s="344"/>
      <c r="K58" s="343"/>
      <c r="L58" s="344"/>
      <c r="M58" s="345"/>
      <c r="N58" s="357">
        <f t="shared" si="3"/>
        <v>10</v>
      </c>
    </row>
    <row r="59" spans="1:15" ht="13.7" customHeight="1" x14ac:dyDescent="0.2">
      <c r="A59" s="340" t="s">
        <v>279</v>
      </c>
      <c r="B59" s="341">
        <v>25</v>
      </c>
      <c r="C59" s="341">
        <v>25</v>
      </c>
      <c r="D59" s="342">
        <v>1</v>
      </c>
      <c r="E59" s="343" t="s">
        <v>262</v>
      </c>
      <c r="F59" s="344">
        <v>10</v>
      </c>
      <c r="G59" s="345"/>
      <c r="H59" s="346" t="s">
        <v>279</v>
      </c>
      <c r="I59" s="344"/>
      <c r="J59" s="345"/>
      <c r="K59" s="362"/>
      <c r="L59" s="344"/>
      <c r="M59" s="345"/>
      <c r="N59" s="357">
        <f t="shared" si="2"/>
        <v>10</v>
      </c>
    </row>
    <row r="60" spans="1:15" ht="13.7" customHeight="1" x14ac:dyDescent="0.2">
      <c r="A60" s="340"/>
      <c r="B60" s="341"/>
      <c r="C60" s="341"/>
      <c r="D60" s="342"/>
      <c r="E60" s="343"/>
      <c r="F60" s="344"/>
      <c r="G60" s="345"/>
      <c r="H60" s="340"/>
      <c r="I60" s="344"/>
      <c r="J60" s="345"/>
      <c r="K60" s="362"/>
      <c r="L60" s="344"/>
      <c r="M60" s="345"/>
      <c r="N60" s="357">
        <f t="shared" si="2"/>
        <v>0</v>
      </c>
    </row>
    <row r="61" spans="1:15" ht="13.7" customHeight="1" x14ac:dyDescent="0.2">
      <c r="A61" s="340"/>
      <c r="B61" s="341"/>
      <c r="C61" s="341"/>
      <c r="D61" s="342"/>
      <c r="E61" s="343"/>
      <c r="F61" s="344"/>
      <c r="G61" s="345"/>
      <c r="H61" s="340"/>
      <c r="I61" s="344"/>
      <c r="J61" s="344"/>
      <c r="K61" s="343"/>
      <c r="L61" s="344"/>
      <c r="M61" s="345"/>
      <c r="N61" s="357">
        <f t="shared" si="2"/>
        <v>0</v>
      </c>
    </row>
    <row r="62" spans="1:15" ht="13.7" customHeight="1" x14ac:dyDescent="0.2">
      <c r="A62" s="340"/>
      <c r="B62" s="341"/>
      <c r="C62" s="341"/>
      <c r="D62" s="342"/>
      <c r="E62" s="343"/>
      <c r="F62" s="344"/>
      <c r="G62" s="345"/>
      <c r="H62" s="340"/>
      <c r="I62" s="344"/>
      <c r="J62" s="344"/>
      <c r="K62" s="343"/>
      <c r="L62" s="344"/>
      <c r="M62" s="345"/>
      <c r="N62" s="357">
        <f t="shared" si="2"/>
        <v>0</v>
      </c>
    </row>
    <row r="63" spans="1:15" ht="13.7" customHeight="1" x14ac:dyDescent="0.2">
      <c r="A63" s="340"/>
      <c r="B63" s="341"/>
      <c r="C63" s="341"/>
      <c r="D63" s="342"/>
      <c r="E63" s="343"/>
      <c r="F63" s="344"/>
      <c r="G63" s="345"/>
      <c r="H63" s="340"/>
      <c r="I63" s="344"/>
      <c r="J63" s="344"/>
      <c r="K63" s="343"/>
      <c r="L63" s="344"/>
      <c r="M63" s="345"/>
      <c r="N63" s="357">
        <f t="shared" si="2"/>
        <v>0</v>
      </c>
    </row>
    <row r="64" spans="1:15" ht="13.7" customHeight="1" x14ac:dyDescent="0.2">
      <c r="A64" s="343"/>
      <c r="B64" s="347"/>
      <c r="C64" s="347"/>
      <c r="D64" s="348"/>
      <c r="E64" s="340"/>
      <c r="F64" s="344"/>
      <c r="G64" s="345"/>
      <c r="H64" s="340"/>
      <c r="I64" s="344"/>
      <c r="J64" s="344"/>
      <c r="K64" s="340"/>
      <c r="L64" s="344"/>
      <c r="M64" s="345"/>
      <c r="N64" s="357">
        <f t="shared" si="2"/>
        <v>0</v>
      </c>
    </row>
    <row r="65" spans="1:14" ht="13.7" customHeight="1" x14ac:dyDescent="0.2">
      <c r="A65" s="343"/>
      <c r="B65" s="347"/>
      <c r="C65" s="347"/>
      <c r="D65" s="348"/>
      <c r="E65" s="340"/>
      <c r="F65" s="344"/>
      <c r="G65" s="345"/>
      <c r="H65" s="340"/>
      <c r="I65" s="344"/>
      <c r="J65" s="345"/>
      <c r="K65" s="363"/>
      <c r="L65" s="344"/>
      <c r="M65" s="345"/>
      <c r="N65" s="357">
        <f t="shared" si="2"/>
        <v>0</v>
      </c>
    </row>
    <row r="66" spans="1:14" ht="13.7" customHeight="1" x14ac:dyDescent="0.2">
      <c r="A66" s="364"/>
      <c r="B66" s="365"/>
      <c r="C66" s="347"/>
      <c r="D66" s="348"/>
      <c r="E66" s="340"/>
      <c r="F66" s="344"/>
      <c r="G66" s="345"/>
      <c r="H66" s="340"/>
      <c r="I66" s="344"/>
      <c r="J66" s="344"/>
      <c r="K66" s="340"/>
      <c r="L66" s="344"/>
      <c r="M66" s="345"/>
      <c r="N66" s="357">
        <f t="shared" si="2"/>
        <v>0</v>
      </c>
    </row>
    <row r="67" spans="1:14" ht="13.7" customHeight="1" x14ac:dyDescent="0.2">
      <c r="A67" s="343"/>
      <c r="B67" s="347"/>
      <c r="C67" s="347"/>
      <c r="D67" s="348"/>
      <c r="E67" s="340"/>
      <c r="F67" s="344"/>
      <c r="G67" s="345"/>
      <c r="H67" s="340"/>
      <c r="I67" s="344"/>
      <c r="J67" s="344"/>
      <c r="K67" s="340"/>
      <c r="L67" s="344"/>
      <c r="M67" s="345"/>
      <c r="N67" s="357">
        <f t="shared" si="2"/>
        <v>0</v>
      </c>
    </row>
    <row r="68" spans="1:14" ht="13.7" customHeight="1" x14ac:dyDescent="0.2">
      <c r="A68" s="343"/>
      <c r="B68" s="347"/>
      <c r="C68" s="347"/>
      <c r="D68" s="348"/>
      <c r="E68" s="340"/>
      <c r="F68" s="344"/>
      <c r="G68" s="345"/>
      <c r="H68" s="340"/>
      <c r="I68" s="344"/>
      <c r="J68" s="344"/>
      <c r="K68" s="340"/>
      <c r="L68" s="344"/>
      <c r="M68" s="345"/>
      <c r="N68" s="357">
        <f t="shared" si="2"/>
        <v>0</v>
      </c>
    </row>
    <row r="69" spans="1:14" ht="13.7" customHeight="1" x14ac:dyDescent="0.2">
      <c r="A69" s="343"/>
      <c r="B69" s="347"/>
      <c r="C69" s="347"/>
      <c r="D69" s="348"/>
      <c r="E69" s="340"/>
      <c r="F69" s="344"/>
      <c r="G69" s="345"/>
      <c r="H69" s="340"/>
      <c r="I69" s="344"/>
      <c r="J69" s="344"/>
      <c r="K69" s="340"/>
      <c r="L69" s="344"/>
      <c r="M69" s="345"/>
      <c r="N69" s="357">
        <f t="shared" si="2"/>
        <v>0</v>
      </c>
    </row>
    <row r="70" spans="1:14" ht="13.7" customHeight="1" x14ac:dyDescent="0.2">
      <c r="A70" s="343"/>
      <c r="B70" s="347"/>
      <c r="C70" s="347"/>
      <c r="D70" s="348"/>
      <c r="E70" s="340"/>
      <c r="F70" s="344"/>
      <c r="G70" s="345"/>
      <c r="H70" s="350"/>
      <c r="I70" s="344"/>
      <c r="J70" s="344"/>
      <c r="K70" s="340"/>
      <c r="L70" s="344"/>
      <c r="M70" s="345"/>
      <c r="N70" s="357">
        <f t="shared" si="2"/>
        <v>0</v>
      </c>
    </row>
    <row r="71" spans="1:14" ht="13.7" customHeight="1" x14ac:dyDescent="0.2">
      <c r="A71" s="366"/>
      <c r="B71" s="347"/>
      <c r="C71" s="347"/>
      <c r="D71" s="348"/>
      <c r="E71" s="340"/>
      <c r="F71" s="344"/>
      <c r="G71" s="345"/>
      <c r="H71" s="340"/>
      <c r="I71" s="344"/>
      <c r="J71" s="344"/>
      <c r="K71" s="340"/>
      <c r="L71" s="344"/>
      <c r="M71" s="345"/>
      <c r="N71" s="357">
        <f t="shared" si="2"/>
        <v>0</v>
      </c>
    </row>
    <row r="72" spans="1:14" ht="13.7" customHeight="1" x14ac:dyDescent="0.2">
      <c r="A72" s="343"/>
      <c r="B72" s="347"/>
      <c r="C72" s="347"/>
      <c r="D72" s="348"/>
      <c r="E72" s="340"/>
      <c r="F72" s="344"/>
      <c r="G72" s="345"/>
      <c r="H72" s="340"/>
      <c r="I72" s="344"/>
      <c r="J72" s="344"/>
      <c r="K72" s="340"/>
      <c r="L72" s="344"/>
      <c r="M72" s="345"/>
      <c r="N72" s="357">
        <f t="shared" si="2"/>
        <v>0</v>
      </c>
    </row>
    <row r="73" spans="1:14" ht="13.7" customHeight="1" x14ac:dyDescent="0.2">
      <c r="A73" s="343"/>
      <c r="B73" s="347"/>
      <c r="C73" s="347"/>
      <c r="D73" s="348"/>
      <c r="E73" s="340"/>
      <c r="F73" s="344"/>
      <c r="G73" s="345"/>
      <c r="H73" s="340"/>
      <c r="I73" s="344"/>
      <c r="J73" s="344"/>
      <c r="K73" s="340"/>
      <c r="L73" s="344"/>
      <c r="M73" s="345"/>
      <c r="N73" s="357">
        <f t="shared" si="2"/>
        <v>0</v>
      </c>
    </row>
    <row r="74" spans="1:14" ht="13.7" customHeight="1" x14ac:dyDescent="0.2">
      <c r="A74" s="343"/>
      <c r="B74" s="347"/>
      <c r="C74" s="347"/>
      <c r="D74" s="348"/>
      <c r="E74" s="340"/>
      <c r="F74" s="344"/>
      <c r="G74" s="345"/>
      <c r="H74" s="340"/>
      <c r="I74" s="344"/>
      <c r="J74" s="344"/>
      <c r="K74" s="340"/>
      <c r="L74" s="344"/>
      <c r="M74" s="345"/>
      <c r="N74" s="357">
        <f t="shared" si="2"/>
        <v>0</v>
      </c>
    </row>
    <row r="75" spans="1:14" ht="13.7" customHeight="1" x14ac:dyDescent="0.2">
      <c r="A75" s="351"/>
      <c r="B75" s="352"/>
      <c r="C75" s="352"/>
      <c r="D75" s="353"/>
      <c r="E75" s="354"/>
      <c r="F75" s="355"/>
      <c r="G75" s="356"/>
      <c r="H75" s="354"/>
      <c r="I75" s="344"/>
      <c r="J75" s="344"/>
      <c r="K75" s="354"/>
      <c r="L75" s="355"/>
      <c r="M75" s="356"/>
      <c r="N75" s="357">
        <f t="shared" si="2"/>
        <v>0</v>
      </c>
    </row>
    <row r="76" spans="1:14" ht="13.7" customHeight="1" thickBot="1" x14ac:dyDescent="0.25">
      <c r="A76" s="351"/>
      <c r="B76" s="352"/>
      <c r="C76" s="352"/>
      <c r="D76" s="353"/>
      <c r="E76" s="354"/>
      <c r="F76" s="355"/>
      <c r="G76" s="356"/>
      <c r="H76" s="354"/>
      <c r="I76" s="344"/>
      <c r="J76" s="344"/>
      <c r="K76" s="354"/>
      <c r="L76" s="355"/>
      <c r="M76" s="356"/>
      <c r="N76" s="358">
        <f>D76*(F76+I76+L76)+G76+J76+M76</f>
        <v>0</v>
      </c>
    </row>
    <row r="77" spans="1:14" ht="13.7" customHeight="1" thickBot="1" x14ac:dyDescent="0.25">
      <c r="A77" s="22" t="s">
        <v>27</v>
      </c>
      <c r="B77" s="23">
        <f>SUM(B51:B76)</f>
        <v>56</v>
      </c>
      <c r="C77" s="23">
        <f>SUM(C51:C76)</f>
        <v>29</v>
      </c>
      <c r="D77" s="23">
        <f>SUM(D51:D76)</f>
        <v>28</v>
      </c>
      <c r="E77" s="22"/>
      <c r="F77" s="24"/>
      <c r="G77" s="25"/>
      <c r="H77" s="22"/>
      <c r="I77" s="26"/>
      <c r="J77" s="27"/>
      <c r="K77" s="22" t="s">
        <v>11</v>
      </c>
      <c r="L77" s="28"/>
      <c r="M77" s="29"/>
      <c r="N77" s="162">
        <f>SUM(N51:N76)</f>
        <v>1012.1</v>
      </c>
    </row>
    <row r="78" spans="1:14" ht="13.7" customHeight="1" x14ac:dyDescent="0.2">
      <c r="A78" s="6" t="s">
        <v>16</v>
      </c>
      <c r="B78" s="6"/>
      <c r="C78" s="6"/>
      <c r="D78" s="6"/>
      <c r="E78" s="7" t="s">
        <v>14</v>
      </c>
      <c r="F78" s="6"/>
      <c r="G78" s="6"/>
      <c r="H78" s="6"/>
      <c r="I78" s="6"/>
      <c r="J78" s="6"/>
      <c r="K78" s="6"/>
      <c r="L78" s="6"/>
      <c r="M78" s="6"/>
      <c r="N78" s="6"/>
    </row>
    <row r="79" spans="1:14" ht="13.7" customHeight="1" x14ac:dyDescent="0.2">
      <c r="A79" s="6" t="s">
        <v>17</v>
      </c>
      <c r="B79" s="6"/>
      <c r="C79" s="6"/>
      <c r="D79" s="6"/>
      <c r="E79" s="7" t="s">
        <v>15</v>
      </c>
      <c r="F79" s="6"/>
      <c r="G79" s="6"/>
      <c r="H79" s="6"/>
      <c r="I79" s="6"/>
      <c r="J79" s="6"/>
      <c r="K79" s="6"/>
      <c r="L79" s="6"/>
      <c r="M79" s="6"/>
      <c r="N79" s="6"/>
    </row>
    <row r="80" spans="1:14" ht="13.7" customHeight="1" x14ac:dyDescent="0.2">
      <c r="A80" s="6"/>
      <c r="B80" s="6"/>
      <c r="C80" s="6"/>
      <c r="D80" s="6"/>
      <c r="E80" s="7"/>
      <c r="F80" s="6"/>
      <c r="G80" s="6"/>
      <c r="H80" s="6"/>
      <c r="I80" s="6"/>
      <c r="J80" s="6"/>
      <c r="K80" s="6"/>
      <c r="L80" s="6"/>
      <c r="M80" s="6"/>
      <c r="N80" s="6"/>
    </row>
    <row r="81" spans="1:16" ht="13.7" customHeight="1" x14ac:dyDescent="0.3">
      <c r="A81" s="472" t="s">
        <v>178</v>
      </c>
      <c r="I81" s="6"/>
      <c r="J81" s="6"/>
      <c r="K81" s="6"/>
      <c r="L81" s="6"/>
      <c r="M81" s="6"/>
      <c r="N81" s="6"/>
    </row>
    <row r="82" spans="1:16" ht="13.7" customHeight="1" x14ac:dyDescent="0.3">
      <c r="A82" s="472" t="s">
        <v>217</v>
      </c>
      <c r="I82" s="6"/>
      <c r="J82" s="6"/>
      <c r="K82" s="6"/>
      <c r="L82" s="6"/>
      <c r="M82" s="6"/>
      <c r="N82" s="6"/>
    </row>
    <row r="83" spans="1:16" ht="13.7" customHeight="1" x14ac:dyDescent="0.2">
      <c r="I83" s="6"/>
      <c r="J83" s="6"/>
      <c r="K83" s="6"/>
      <c r="L83" s="6"/>
      <c r="M83" s="6"/>
      <c r="N83" s="6"/>
    </row>
    <row r="84" spans="1:16" ht="18" x14ac:dyDescent="0.25">
      <c r="A84" s="1" t="s">
        <v>18</v>
      </c>
    </row>
    <row r="85" spans="1:16" ht="18.75" thickBot="1" x14ac:dyDescent="0.3">
      <c r="A85" s="2" t="s">
        <v>0</v>
      </c>
      <c r="B85" s="325" t="s">
        <v>292</v>
      </c>
      <c r="C85" s="326"/>
      <c r="D85" s="327"/>
      <c r="E85" s="327"/>
      <c r="F85" s="327"/>
      <c r="G85" s="327"/>
      <c r="H85" s="327"/>
      <c r="I85" t="s">
        <v>1</v>
      </c>
      <c r="K85" s="325" t="s">
        <v>20</v>
      </c>
      <c r="L85" t="s">
        <v>74</v>
      </c>
      <c r="M85" t="s">
        <v>3</v>
      </c>
    </row>
    <row r="86" spans="1:16" ht="39" thickBot="1" x14ac:dyDescent="0.25">
      <c r="A86" s="3" t="s">
        <v>4</v>
      </c>
      <c r="B86" s="4" t="s">
        <v>5</v>
      </c>
      <c r="C86" s="4" t="s">
        <v>26</v>
      </c>
      <c r="D86" s="5" t="s">
        <v>6</v>
      </c>
      <c r="E86" s="3" t="s">
        <v>7</v>
      </c>
      <c r="F86" s="4" t="s">
        <v>12</v>
      </c>
      <c r="G86" s="5" t="s">
        <v>13</v>
      </c>
      <c r="H86" s="3" t="s">
        <v>8</v>
      </c>
      <c r="I86" s="4" t="s">
        <v>12</v>
      </c>
      <c r="J86" s="5" t="s">
        <v>13</v>
      </c>
      <c r="K86" s="3" t="s">
        <v>9</v>
      </c>
      <c r="L86" s="4" t="s">
        <v>12</v>
      </c>
      <c r="M86" s="5" t="s">
        <v>13</v>
      </c>
      <c r="N86" s="10" t="s">
        <v>10</v>
      </c>
    </row>
    <row r="87" spans="1:16" ht="13.7" customHeight="1" x14ac:dyDescent="0.2">
      <c r="A87" s="14" t="s">
        <v>21</v>
      </c>
      <c r="B87" s="8"/>
      <c r="C87" s="8"/>
      <c r="D87" s="9"/>
      <c r="E87" s="156"/>
      <c r="F87" s="157"/>
      <c r="G87" s="158"/>
      <c r="H87" s="156"/>
      <c r="I87" s="159"/>
      <c r="J87" s="159"/>
      <c r="K87" s="156"/>
      <c r="L87" s="159"/>
      <c r="M87" s="160"/>
      <c r="N87" s="161">
        <f t="shared" ref="N87:N93" si="4">D87*(F87+I87+L87)+G87+J87+M87</f>
        <v>0</v>
      </c>
    </row>
    <row r="88" spans="1:16" ht="13.7" customHeight="1" x14ac:dyDescent="0.2">
      <c r="A88" s="367" t="s">
        <v>248</v>
      </c>
      <c r="B88" s="368">
        <v>5</v>
      </c>
      <c r="C88" s="368"/>
      <c r="D88" s="369">
        <v>5</v>
      </c>
      <c r="E88" s="370" t="s">
        <v>249</v>
      </c>
      <c r="F88" s="371">
        <v>14.3</v>
      </c>
      <c r="G88" s="372"/>
      <c r="H88" s="370" t="s">
        <v>250</v>
      </c>
      <c r="I88" s="371"/>
      <c r="J88" s="371">
        <v>11</v>
      </c>
      <c r="K88" s="392"/>
      <c r="L88" s="371"/>
      <c r="M88" s="372"/>
      <c r="N88" s="373">
        <f t="shared" si="4"/>
        <v>82.5</v>
      </c>
    </row>
    <row r="89" spans="1:16" ht="13.7" customHeight="1" x14ac:dyDescent="0.2">
      <c r="A89" s="336" t="s">
        <v>251</v>
      </c>
      <c r="B89" s="374">
        <v>4</v>
      </c>
      <c r="C89" s="374"/>
      <c r="D89" s="375">
        <v>4</v>
      </c>
      <c r="E89" s="359" t="s">
        <v>249</v>
      </c>
      <c r="F89" s="344">
        <v>14.3</v>
      </c>
      <c r="G89" s="376"/>
      <c r="H89" s="377" t="s">
        <v>252</v>
      </c>
      <c r="I89" s="378"/>
      <c r="J89" s="378">
        <v>7</v>
      </c>
      <c r="K89" s="336"/>
      <c r="L89" s="378"/>
      <c r="M89" s="376"/>
      <c r="N89" s="380">
        <f t="shared" si="4"/>
        <v>64.2</v>
      </c>
    </row>
    <row r="90" spans="1:16" ht="13.7" customHeight="1" x14ac:dyDescent="0.2">
      <c r="A90" s="336" t="s">
        <v>253</v>
      </c>
      <c r="B90" s="374">
        <v>1</v>
      </c>
      <c r="C90" s="374"/>
      <c r="D90" s="375">
        <v>1</v>
      </c>
      <c r="E90" s="336" t="s">
        <v>249</v>
      </c>
      <c r="F90" s="378">
        <v>14.3</v>
      </c>
      <c r="G90" s="376"/>
      <c r="H90" s="379" t="s">
        <v>254</v>
      </c>
      <c r="I90" s="378"/>
      <c r="J90" s="378">
        <v>0.8</v>
      </c>
      <c r="K90" s="379" t="s">
        <v>255</v>
      </c>
      <c r="L90" s="378"/>
      <c r="M90" s="376">
        <v>0.45</v>
      </c>
      <c r="N90" s="380">
        <f t="shared" si="4"/>
        <v>15.55</v>
      </c>
    </row>
    <row r="91" spans="1:16" ht="13.7" customHeight="1" x14ac:dyDescent="0.2">
      <c r="A91" s="336"/>
      <c r="B91" s="374"/>
      <c r="C91" s="374"/>
      <c r="D91" s="375"/>
      <c r="E91" s="336"/>
      <c r="F91" s="378"/>
      <c r="G91" s="376"/>
      <c r="H91" s="379"/>
      <c r="I91" s="378"/>
      <c r="J91" s="378"/>
      <c r="K91" s="379"/>
      <c r="L91" s="378"/>
      <c r="M91" s="376"/>
      <c r="N91" s="380">
        <f t="shared" si="4"/>
        <v>0</v>
      </c>
    </row>
    <row r="92" spans="1:16" ht="13.7" customHeight="1" x14ac:dyDescent="0.2">
      <c r="A92" s="379"/>
      <c r="B92" s="374"/>
      <c r="C92" s="374"/>
      <c r="D92" s="375"/>
      <c r="E92" s="336"/>
      <c r="F92" s="378"/>
      <c r="G92" s="376"/>
      <c r="H92" s="379"/>
      <c r="I92" s="378"/>
      <c r="J92" s="378"/>
      <c r="K92" s="336"/>
      <c r="L92" s="378"/>
      <c r="M92" s="376"/>
      <c r="N92" s="380">
        <f t="shared" si="4"/>
        <v>0</v>
      </c>
    </row>
    <row r="93" spans="1:16" ht="13.7" customHeight="1" thickBot="1" x14ac:dyDescent="0.25">
      <c r="A93" s="381"/>
      <c r="B93" s="382"/>
      <c r="C93" s="382"/>
      <c r="D93" s="383"/>
      <c r="E93" s="384"/>
      <c r="F93" s="385"/>
      <c r="G93" s="386"/>
      <c r="H93" s="384"/>
      <c r="I93" s="385"/>
      <c r="J93" s="385"/>
      <c r="K93" s="384"/>
      <c r="L93" s="385"/>
      <c r="M93" s="386"/>
      <c r="N93" s="387">
        <f t="shared" si="4"/>
        <v>0</v>
      </c>
    </row>
    <row r="94" spans="1:16" ht="13.7" customHeight="1" thickBot="1" x14ac:dyDescent="0.25">
      <c r="A94" s="15" t="s">
        <v>22</v>
      </c>
      <c r="B94" s="16">
        <f>SUM(B88:B93)</f>
        <v>10</v>
      </c>
      <c r="C94" s="17">
        <f>SUM(C88:C93)</f>
        <v>0</v>
      </c>
      <c r="D94" s="18">
        <f>SUM(D88:D93)</f>
        <v>10</v>
      </c>
      <c r="E94" s="163"/>
      <c r="F94" s="165"/>
      <c r="G94" s="165"/>
      <c r="H94" s="164"/>
      <c r="I94" s="165"/>
      <c r="J94" s="165"/>
      <c r="K94" s="164" t="s">
        <v>23</v>
      </c>
      <c r="L94" s="165"/>
      <c r="M94" s="166"/>
      <c r="N94" s="167">
        <f>SUM(N87:N93)</f>
        <v>162.25</v>
      </c>
    </row>
    <row r="95" spans="1:16" ht="13.7" customHeight="1" x14ac:dyDescent="0.2">
      <c r="A95" s="336" t="s">
        <v>256</v>
      </c>
      <c r="B95" s="374">
        <v>5</v>
      </c>
      <c r="C95" s="374"/>
      <c r="D95" s="375">
        <v>5</v>
      </c>
      <c r="E95" s="359" t="s">
        <v>249</v>
      </c>
      <c r="F95" s="378">
        <v>19.3</v>
      </c>
      <c r="G95" s="376"/>
      <c r="H95" s="379" t="s">
        <v>257</v>
      </c>
      <c r="I95" s="378"/>
      <c r="J95" s="378">
        <v>4</v>
      </c>
      <c r="K95" s="379"/>
      <c r="L95" s="378"/>
      <c r="M95" s="376"/>
      <c r="N95" s="388">
        <f t="shared" ref="N95:N107" si="5">D95*(F95+I95+L95)+G95+J95+M95</f>
        <v>100.5</v>
      </c>
      <c r="O95" s="99"/>
      <c r="P95" s="99"/>
    </row>
    <row r="96" spans="1:16" ht="13.7" customHeight="1" x14ac:dyDescent="0.2">
      <c r="A96" s="336" t="s">
        <v>258</v>
      </c>
      <c r="B96" s="374">
        <v>2</v>
      </c>
      <c r="C96" s="374"/>
      <c r="D96" s="375">
        <v>2</v>
      </c>
      <c r="E96" s="379" t="s">
        <v>249</v>
      </c>
      <c r="F96" s="378">
        <v>19.3</v>
      </c>
      <c r="G96" s="376"/>
      <c r="H96" s="379" t="s">
        <v>259</v>
      </c>
      <c r="I96" s="378"/>
      <c r="J96" s="378">
        <v>12</v>
      </c>
      <c r="K96" s="379"/>
      <c r="L96" s="378"/>
      <c r="M96" s="376"/>
      <c r="N96" s="380">
        <f t="shared" si="5"/>
        <v>50.6</v>
      </c>
      <c r="O96" s="99"/>
      <c r="P96" s="99"/>
    </row>
    <row r="97" spans="1:18" ht="13.7" customHeight="1" x14ac:dyDescent="0.2">
      <c r="A97" s="336" t="s">
        <v>260</v>
      </c>
      <c r="B97" s="374">
        <v>5</v>
      </c>
      <c r="C97" s="374"/>
      <c r="D97" s="375">
        <v>5</v>
      </c>
      <c r="E97" s="379" t="s">
        <v>249</v>
      </c>
      <c r="F97" s="378">
        <v>19.3</v>
      </c>
      <c r="G97" s="376"/>
      <c r="H97" s="379" t="s">
        <v>252</v>
      </c>
      <c r="I97" s="378"/>
      <c r="J97" s="378">
        <v>7</v>
      </c>
      <c r="K97" s="379"/>
      <c r="L97" s="378"/>
      <c r="M97" s="376"/>
      <c r="N97" s="380">
        <f>D97*(F97+I97+L97)+G97+J97*2+M97</f>
        <v>110.5</v>
      </c>
      <c r="O97" s="99"/>
      <c r="P97" s="99"/>
    </row>
    <row r="98" spans="1:18" ht="13.7" customHeight="1" x14ac:dyDescent="0.2">
      <c r="A98" s="389" t="s">
        <v>261</v>
      </c>
      <c r="B98" s="390">
        <v>1</v>
      </c>
      <c r="C98" s="390"/>
      <c r="D98" s="375">
        <v>0.5</v>
      </c>
      <c r="E98" s="379" t="s">
        <v>262</v>
      </c>
      <c r="F98" s="378">
        <v>10</v>
      </c>
      <c r="G98" s="376"/>
      <c r="H98" s="379"/>
      <c r="I98" s="378"/>
      <c r="J98" s="378"/>
      <c r="K98" s="379"/>
      <c r="L98" s="378"/>
      <c r="M98" s="376"/>
      <c r="N98" s="380">
        <f t="shared" si="5"/>
        <v>5</v>
      </c>
      <c r="O98" s="99"/>
      <c r="P98" s="99"/>
    </row>
    <row r="99" spans="1:18" ht="13.7" customHeight="1" x14ac:dyDescent="0.2">
      <c r="A99" s="389" t="s">
        <v>263</v>
      </c>
      <c r="B99" s="390">
        <v>1</v>
      </c>
      <c r="C99" s="390"/>
      <c r="D99" s="375">
        <v>0.5</v>
      </c>
      <c r="E99" s="379" t="s">
        <v>262</v>
      </c>
      <c r="F99" s="378">
        <v>10</v>
      </c>
      <c r="G99" s="376"/>
      <c r="H99" s="379"/>
      <c r="I99" s="378"/>
      <c r="J99" s="378"/>
      <c r="K99" s="379"/>
      <c r="L99" s="378"/>
      <c r="M99" s="376"/>
      <c r="N99" s="380">
        <f t="shared" si="5"/>
        <v>5</v>
      </c>
      <c r="O99" s="99"/>
      <c r="P99" s="99"/>
    </row>
    <row r="100" spans="1:18" ht="13.7" customHeight="1" x14ac:dyDescent="0.2">
      <c r="A100" s="389" t="s">
        <v>264</v>
      </c>
      <c r="B100" s="390">
        <v>25</v>
      </c>
      <c r="C100" s="390">
        <v>25</v>
      </c>
      <c r="D100" s="375">
        <v>6</v>
      </c>
      <c r="E100" s="379" t="s">
        <v>249</v>
      </c>
      <c r="F100" s="378">
        <v>14.3</v>
      </c>
      <c r="G100" s="376"/>
      <c r="H100" s="391" t="s">
        <v>265</v>
      </c>
      <c r="I100" s="378"/>
      <c r="J100" s="378">
        <v>4</v>
      </c>
      <c r="K100" s="379"/>
      <c r="L100" s="378"/>
      <c r="M100" s="376"/>
      <c r="N100" s="380">
        <f t="shared" si="5"/>
        <v>89.800000000000011</v>
      </c>
    </row>
    <row r="101" spans="1:18" ht="13.7" customHeight="1" x14ac:dyDescent="0.2">
      <c r="A101" s="336" t="s">
        <v>266</v>
      </c>
      <c r="B101" s="374">
        <v>2</v>
      </c>
      <c r="C101" s="374"/>
      <c r="D101" s="375">
        <v>2</v>
      </c>
      <c r="E101" s="379" t="s">
        <v>249</v>
      </c>
      <c r="F101" s="378">
        <v>14.3</v>
      </c>
      <c r="G101" s="376"/>
      <c r="H101" s="336" t="s">
        <v>267</v>
      </c>
      <c r="I101" s="378"/>
      <c r="J101" s="378">
        <v>7</v>
      </c>
      <c r="K101" s="379" t="s">
        <v>268</v>
      </c>
      <c r="L101" s="378"/>
      <c r="M101" s="376">
        <v>0.3</v>
      </c>
      <c r="N101" s="380">
        <f t="shared" si="5"/>
        <v>35.9</v>
      </c>
      <c r="R101" s="6"/>
    </row>
    <row r="102" spans="1:18" ht="13.7" customHeight="1" x14ac:dyDescent="0.2">
      <c r="A102" s="336"/>
      <c r="B102" s="374"/>
      <c r="C102" s="374"/>
      <c r="D102" s="375"/>
      <c r="E102" s="379"/>
      <c r="F102" s="378"/>
      <c r="G102" s="376"/>
      <c r="H102" s="379"/>
      <c r="I102" s="378"/>
      <c r="J102" s="378"/>
      <c r="K102" s="379"/>
      <c r="L102" s="378"/>
      <c r="M102" s="376"/>
      <c r="N102" s="380">
        <f t="shared" si="5"/>
        <v>0</v>
      </c>
    </row>
    <row r="103" spans="1:18" ht="13.7" customHeight="1" x14ac:dyDescent="0.2">
      <c r="A103" s="336"/>
      <c r="B103" s="374"/>
      <c r="C103" s="374"/>
      <c r="D103" s="375"/>
      <c r="E103" s="379"/>
      <c r="F103" s="378"/>
      <c r="G103" s="376"/>
      <c r="H103" s="379"/>
      <c r="I103" s="378"/>
      <c r="J103" s="378"/>
      <c r="K103" s="379"/>
      <c r="L103" s="378"/>
      <c r="M103" s="376"/>
      <c r="N103" s="380">
        <f t="shared" si="5"/>
        <v>0</v>
      </c>
    </row>
    <row r="104" spans="1:18" ht="13.7" customHeight="1" x14ac:dyDescent="0.2">
      <c r="A104" s="336"/>
      <c r="B104" s="374"/>
      <c r="C104" s="374"/>
      <c r="D104" s="375"/>
      <c r="E104" s="379"/>
      <c r="F104" s="378"/>
      <c r="G104" s="376"/>
      <c r="H104" s="379"/>
      <c r="I104" s="378"/>
      <c r="J104" s="378"/>
      <c r="K104" s="379"/>
      <c r="L104" s="378"/>
      <c r="M104" s="376"/>
      <c r="N104" s="380">
        <f t="shared" si="5"/>
        <v>0</v>
      </c>
    </row>
    <row r="105" spans="1:18" ht="13.7" customHeight="1" x14ac:dyDescent="0.2">
      <c r="A105" s="379"/>
      <c r="B105" s="374"/>
      <c r="C105" s="374"/>
      <c r="D105" s="375"/>
      <c r="E105" s="336"/>
      <c r="F105" s="378"/>
      <c r="G105" s="376"/>
      <c r="H105" s="336"/>
      <c r="I105" s="378"/>
      <c r="J105" s="378"/>
      <c r="K105" s="336"/>
      <c r="L105" s="378"/>
      <c r="M105" s="376"/>
      <c r="N105" s="380">
        <f t="shared" si="5"/>
        <v>0</v>
      </c>
    </row>
    <row r="106" spans="1:18" ht="13.7" customHeight="1" x14ac:dyDescent="0.2">
      <c r="A106" s="379"/>
      <c r="B106" s="374"/>
      <c r="C106" s="374"/>
      <c r="D106" s="375"/>
      <c r="E106" s="336"/>
      <c r="F106" s="378"/>
      <c r="G106" s="376"/>
      <c r="H106" s="336"/>
      <c r="I106" s="378"/>
      <c r="J106" s="378"/>
      <c r="K106" s="336"/>
      <c r="L106" s="378"/>
      <c r="M106" s="376"/>
      <c r="N106" s="380">
        <f t="shared" si="5"/>
        <v>0</v>
      </c>
    </row>
    <row r="107" spans="1:18" ht="13.7" customHeight="1" thickBot="1" x14ac:dyDescent="0.25">
      <c r="A107" s="381"/>
      <c r="B107" s="382"/>
      <c r="C107" s="382"/>
      <c r="D107" s="383"/>
      <c r="E107" s="384"/>
      <c r="F107" s="385"/>
      <c r="G107" s="386"/>
      <c r="H107" s="384"/>
      <c r="I107" s="385"/>
      <c r="J107" s="385"/>
      <c r="K107" s="384"/>
      <c r="L107" s="385"/>
      <c r="M107" s="386"/>
      <c r="N107" s="387">
        <f t="shared" si="5"/>
        <v>0</v>
      </c>
    </row>
    <row r="108" spans="1:18" ht="13.7" customHeight="1" thickBot="1" x14ac:dyDescent="0.25">
      <c r="A108" s="15" t="s">
        <v>24</v>
      </c>
      <c r="B108" s="16">
        <f>SUM(B95:B107)</f>
        <v>41</v>
      </c>
      <c r="C108" s="17">
        <f>SUM(C95:C107)</f>
        <v>25</v>
      </c>
      <c r="D108" s="18">
        <f>SUM(D95:D107)</f>
        <v>21</v>
      </c>
      <c r="E108" s="163"/>
      <c r="F108" s="165"/>
      <c r="G108" s="165"/>
      <c r="H108" s="19"/>
      <c r="I108" s="165"/>
      <c r="J108" s="165"/>
      <c r="K108" s="19" t="s">
        <v>25</v>
      </c>
      <c r="L108" s="165"/>
      <c r="M108" s="166"/>
      <c r="N108" s="167">
        <f>SUM(N95:N107)</f>
        <v>397.3</v>
      </c>
    </row>
    <row r="109" spans="1:18" ht="13.7" customHeight="1" x14ac:dyDescent="0.2">
      <c r="A109" s="392" t="s">
        <v>269</v>
      </c>
      <c r="B109" s="393">
        <v>3</v>
      </c>
      <c r="C109" s="393"/>
      <c r="D109" s="394">
        <v>3</v>
      </c>
      <c r="E109" s="359" t="s">
        <v>249</v>
      </c>
      <c r="F109" s="396">
        <v>14.3</v>
      </c>
      <c r="G109" s="397"/>
      <c r="H109" s="395" t="s">
        <v>254</v>
      </c>
      <c r="I109" s="396"/>
      <c r="J109" s="396">
        <v>0.8</v>
      </c>
      <c r="K109" s="395" t="s">
        <v>255</v>
      </c>
      <c r="L109" s="396"/>
      <c r="M109" s="397">
        <v>0.45</v>
      </c>
      <c r="N109" s="388">
        <f>D109*(F109+I109+L109)+G109+J109*2+M109*2</f>
        <v>45.400000000000006</v>
      </c>
    </row>
    <row r="110" spans="1:18" ht="13.7" customHeight="1" x14ac:dyDescent="0.2">
      <c r="A110" s="336" t="s">
        <v>270</v>
      </c>
      <c r="B110" s="374">
        <v>6</v>
      </c>
      <c r="C110" s="374"/>
      <c r="D110" s="375">
        <v>6</v>
      </c>
      <c r="E110" s="379" t="s">
        <v>249</v>
      </c>
      <c r="F110" s="378">
        <v>14.3</v>
      </c>
      <c r="G110" s="376"/>
      <c r="H110" s="398" t="s">
        <v>271</v>
      </c>
      <c r="I110" s="403"/>
      <c r="J110" s="403">
        <v>2.4</v>
      </c>
      <c r="K110" s="336"/>
      <c r="L110" s="378"/>
      <c r="M110" s="376"/>
      <c r="N110" s="380">
        <f>D110*(F110+I110+L110)+G110+J110*3+M110</f>
        <v>93.000000000000014</v>
      </c>
    </row>
    <row r="111" spans="1:18" ht="13.7" customHeight="1" x14ac:dyDescent="0.2">
      <c r="A111" s="336" t="s">
        <v>272</v>
      </c>
      <c r="B111" s="374">
        <v>3</v>
      </c>
      <c r="C111" s="374"/>
      <c r="D111" s="375">
        <v>3</v>
      </c>
      <c r="E111" s="379" t="s">
        <v>249</v>
      </c>
      <c r="F111" s="378">
        <v>14.3</v>
      </c>
      <c r="G111" s="376"/>
      <c r="H111" s="336" t="s">
        <v>273</v>
      </c>
      <c r="I111" s="378"/>
      <c r="J111" s="376">
        <v>5.2</v>
      </c>
      <c r="K111" s="336"/>
      <c r="L111" s="378"/>
      <c r="M111" s="376"/>
      <c r="N111" s="380">
        <f>D111*(F111+I111+L111)+G111+J111*3+M111</f>
        <v>58.500000000000007</v>
      </c>
    </row>
    <row r="112" spans="1:18" ht="13.7" customHeight="1" x14ac:dyDescent="0.2">
      <c r="A112" s="336" t="s">
        <v>274</v>
      </c>
      <c r="B112" s="374">
        <v>1</v>
      </c>
      <c r="C112" s="374"/>
      <c r="D112" s="375">
        <v>1</v>
      </c>
      <c r="E112" s="379" t="s">
        <v>249</v>
      </c>
      <c r="F112" s="378">
        <v>14.3</v>
      </c>
      <c r="G112" s="376"/>
      <c r="H112" s="399" t="s">
        <v>275</v>
      </c>
      <c r="I112" s="396"/>
      <c r="J112" s="396">
        <v>1.5</v>
      </c>
      <c r="K112" s="336"/>
      <c r="L112" s="378"/>
      <c r="M112" s="376"/>
      <c r="N112" s="380">
        <f t="shared" ref="N112:N116" si="6">D112*(F112+I112+L112)+G112+J112+M112</f>
        <v>15.8</v>
      </c>
    </row>
    <row r="113" spans="1:14" ht="13.7" customHeight="1" x14ac:dyDescent="0.2">
      <c r="A113" s="336" t="s">
        <v>276</v>
      </c>
      <c r="B113" s="374">
        <v>6</v>
      </c>
      <c r="C113" s="374"/>
      <c r="D113" s="375">
        <v>6</v>
      </c>
      <c r="E113" s="379" t="s">
        <v>249</v>
      </c>
      <c r="F113" s="378">
        <v>14.3</v>
      </c>
      <c r="G113" s="376"/>
      <c r="H113" s="381" t="s">
        <v>277</v>
      </c>
      <c r="I113" s="378"/>
      <c r="J113" s="378">
        <v>3</v>
      </c>
      <c r="K113" s="336"/>
      <c r="L113" s="378"/>
      <c r="M113" s="376"/>
      <c r="N113" s="380">
        <f>D113*(F113+I113+L113)+G113+J113*3+M113</f>
        <v>94.800000000000011</v>
      </c>
    </row>
    <row r="114" spans="1:14" ht="13.7" customHeight="1" x14ac:dyDescent="0.2">
      <c r="A114" s="336" t="s">
        <v>278</v>
      </c>
      <c r="B114" s="374">
        <v>75</v>
      </c>
      <c r="C114" s="374">
        <v>75</v>
      </c>
      <c r="D114" s="375">
        <v>3</v>
      </c>
      <c r="E114" s="379" t="s">
        <v>262</v>
      </c>
      <c r="F114" s="378">
        <v>10</v>
      </c>
      <c r="G114" s="376"/>
      <c r="H114" s="400" t="s">
        <v>279</v>
      </c>
      <c r="I114" s="378"/>
      <c r="J114" s="378"/>
      <c r="K114" s="336"/>
      <c r="L114" s="378"/>
      <c r="M114" s="376"/>
      <c r="N114" s="380">
        <f t="shared" si="6"/>
        <v>30</v>
      </c>
    </row>
    <row r="115" spans="1:14" ht="13.7" customHeight="1" x14ac:dyDescent="0.2">
      <c r="A115" s="336"/>
      <c r="B115" s="374"/>
      <c r="C115" s="374"/>
      <c r="D115" s="375"/>
      <c r="E115" s="379"/>
      <c r="F115" s="378"/>
      <c r="G115" s="376"/>
      <c r="H115" s="402"/>
      <c r="I115" s="403"/>
      <c r="J115" s="403"/>
      <c r="K115" s="402"/>
      <c r="L115" s="403"/>
      <c r="M115" s="401"/>
      <c r="N115" s="404">
        <f t="shared" si="6"/>
        <v>0</v>
      </c>
    </row>
    <row r="116" spans="1:14" ht="13.7" customHeight="1" x14ac:dyDescent="0.2">
      <c r="A116" s="381"/>
      <c r="B116" s="405"/>
      <c r="C116" s="405"/>
      <c r="D116" s="406"/>
      <c r="E116" s="402"/>
      <c r="F116" s="403"/>
      <c r="G116" s="401"/>
      <c r="H116" s="402"/>
      <c r="I116" s="403"/>
      <c r="J116" s="403"/>
      <c r="K116" s="402"/>
      <c r="L116" s="403"/>
      <c r="M116" s="401"/>
      <c r="N116" s="404">
        <f t="shared" si="6"/>
        <v>0</v>
      </c>
    </row>
    <row r="117" spans="1:14" ht="13.7" customHeight="1" thickBot="1" x14ac:dyDescent="0.25">
      <c r="A117" s="20" t="s">
        <v>28</v>
      </c>
      <c r="B117" s="21">
        <f>SUM(B109:B116)</f>
        <v>94</v>
      </c>
      <c r="C117" s="21">
        <f>SUM(C109:C116)</f>
        <v>75</v>
      </c>
      <c r="D117" s="21">
        <f>SUM(D109:D116)</f>
        <v>22</v>
      </c>
      <c r="E117" s="30"/>
      <c r="F117" s="31"/>
      <c r="G117" s="31"/>
      <c r="H117" s="32"/>
      <c r="I117" s="33"/>
      <c r="J117" s="33"/>
      <c r="K117" s="32"/>
      <c r="L117" s="34"/>
      <c r="M117" s="35"/>
      <c r="N117" s="168">
        <f>SUM(N109:N115)</f>
        <v>337.50000000000006</v>
      </c>
    </row>
    <row r="118" spans="1:14" x14ac:dyDescent="0.2">
      <c r="A118" s="6" t="s">
        <v>16</v>
      </c>
      <c r="B118" s="6"/>
      <c r="C118" s="6"/>
      <c r="D118" s="6"/>
      <c r="E118" s="7" t="s">
        <v>14</v>
      </c>
      <c r="F118" s="6"/>
      <c r="G118" s="6"/>
      <c r="H118" s="6"/>
      <c r="I118" s="6"/>
      <c r="J118" s="6"/>
      <c r="K118" s="6"/>
      <c r="L118" s="6"/>
      <c r="M118" s="6"/>
      <c r="N118" s="6"/>
    </row>
    <row r="119" spans="1:14" ht="13.7" customHeight="1" x14ac:dyDescent="0.2">
      <c r="A119" s="6" t="s">
        <v>17</v>
      </c>
      <c r="B119" s="6"/>
      <c r="C119" s="6"/>
      <c r="D119" s="6"/>
      <c r="E119" s="7" t="s">
        <v>15</v>
      </c>
      <c r="F119" s="6"/>
      <c r="G119" s="6"/>
      <c r="H119" s="6"/>
      <c r="I119" s="6"/>
      <c r="J119" s="6"/>
      <c r="K119" s="6"/>
      <c r="L119" s="6"/>
      <c r="M119" s="6"/>
      <c r="N119" s="6"/>
    </row>
  </sheetData>
  <sheetProtection password="DC5E" sheet="1" objects="1" scenarios="1" selectLockedCells="1"/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1267" r:id="rId4">
          <objectPr defaultSize="0" autoPict="0" r:id="rId5">
            <anchor moveWithCells="1" sizeWithCells="1">
              <from>
                <xdr:col>1</xdr:col>
                <xdr:colOff>0</xdr:colOff>
                <xdr:row>41</xdr:row>
                <xdr:rowOff>85725</xdr:rowOff>
              </from>
              <to>
                <xdr:col>1</xdr:col>
                <xdr:colOff>0</xdr:colOff>
                <xdr:row>43</xdr:row>
                <xdr:rowOff>123825</xdr:rowOff>
              </to>
            </anchor>
          </objectPr>
        </oleObject>
      </mc:Choice>
      <mc:Fallback>
        <oleObject progId="Word.Picture.8" shapeId="11267" r:id="rId4"/>
      </mc:Fallback>
    </mc:AlternateContent>
    <mc:AlternateContent xmlns:mc="http://schemas.openxmlformats.org/markup-compatibility/2006">
      <mc:Choice Requires="x14">
        <oleObject progId="Word.Picture.8" shapeId="11268" r:id="rId6">
          <objectPr defaultSize="0" autoPict="0" r:id="rId5">
            <anchor moveWithCells="1" sizeWithCells="1">
              <from>
                <xdr:col>1</xdr:col>
                <xdr:colOff>114300</xdr:colOff>
                <xdr:row>41</xdr:row>
                <xdr:rowOff>28575</xdr:rowOff>
              </from>
              <to>
                <xdr:col>3</xdr:col>
                <xdr:colOff>266700</xdr:colOff>
                <xdr:row>44</xdr:row>
                <xdr:rowOff>85725</xdr:rowOff>
              </to>
            </anchor>
          </objectPr>
        </oleObject>
      </mc:Choice>
      <mc:Fallback>
        <oleObject progId="Word.Picture.8" shapeId="11268" r:id="rId6"/>
      </mc:Fallback>
    </mc:AlternateContent>
    <mc:AlternateContent xmlns:mc="http://schemas.openxmlformats.org/markup-compatibility/2006">
      <mc:Choice Requires="x14">
        <oleObject progId="Word.Picture.8" shapeId="11269" r:id="rId7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9525</xdr:rowOff>
              </from>
              <to>
                <xdr:col>1</xdr:col>
                <xdr:colOff>0</xdr:colOff>
                <xdr:row>3</xdr:row>
                <xdr:rowOff>9525</xdr:rowOff>
              </to>
            </anchor>
          </objectPr>
        </oleObject>
      </mc:Choice>
      <mc:Fallback>
        <oleObject progId="Word.Picture.8" shapeId="11269" r:id="rId7"/>
      </mc:Fallback>
    </mc:AlternateContent>
    <mc:AlternateContent xmlns:mc="http://schemas.openxmlformats.org/markup-compatibility/2006">
      <mc:Choice Requires="x14">
        <oleObject progId="Word.Picture.8" shapeId="11270" r:id="rId8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114300</xdr:rowOff>
              </from>
              <to>
                <xdr:col>3</xdr:col>
                <xdr:colOff>266700</xdr:colOff>
                <xdr:row>3</xdr:row>
                <xdr:rowOff>171450</xdr:rowOff>
              </to>
            </anchor>
          </objectPr>
        </oleObject>
      </mc:Choice>
      <mc:Fallback>
        <oleObject progId="Word.Picture.8" shapeId="11270" r:id="rId8"/>
      </mc:Fallback>
    </mc:AlternateContent>
    <mc:AlternateContent xmlns:mc="http://schemas.openxmlformats.org/markup-compatibility/2006">
      <mc:Choice Requires="x14">
        <oleObject progId="Word.Picture.8" shapeId="11273" r:id="rId9">
          <objectPr defaultSize="0" autoPict="0" r:id="rId5">
            <anchor moveWithCells="1" sizeWithCells="1">
              <from>
                <xdr:col>1</xdr:col>
                <xdr:colOff>0</xdr:colOff>
                <xdr:row>79</xdr:row>
                <xdr:rowOff>38100</xdr:rowOff>
              </from>
              <to>
                <xdr:col>1</xdr:col>
                <xdr:colOff>0</xdr:colOff>
                <xdr:row>81</xdr:row>
                <xdr:rowOff>28575</xdr:rowOff>
              </to>
            </anchor>
          </objectPr>
        </oleObject>
      </mc:Choice>
      <mc:Fallback>
        <oleObject progId="Word.Picture.8" shapeId="11273" r:id="rId9"/>
      </mc:Fallback>
    </mc:AlternateContent>
    <mc:AlternateContent xmlns:mc="http://schemas.openxmlformats.org/markup-compatibility/2006">
      <mc:Choice Requires="x14">
        <oleObject progId="Word.Picture.8" shapeId="11274" r:id="rId10">
          <objectPr defaultSize="0" autoPict="0" r:id="rId5">
            <anchor moveWithCells="1" sizeWithCells="1">
              <from>
                <xdr:col>1</xdr:col>
                <xdr:colOff>114300</xdr:colOff>
                <xdr:row>78</xdr:row>
                <xdr:rowOff>142875</xdr:rowOff>
              </from>
              <to>
                <xdr:col>3</xdr:col>
                <xdr:colOff>266700</xdr:colOff>
                <xdr:row>82</xdr:row>
                <xdr:rowOff>19050</xdr:rowOff>
              </to>
            </anchor>
          </objectPr>
        </oleObject>
      </mc:Choice>
      <mc:Fallback>
        <oleObject progId="Word.Picture.8" shapeId="11274" r:id="rId10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">
    <tabColor rgb="FF92D050"/>
  </sheetPr>
  <dimension ref="A2:O130"/>
  <sheetViews>
    <sheetView zoomScale="90" zoomScaleNormal="90" workbookViewId="0">
      <selection activeCell="C10" sqref="C10"/>
    </sheetView>
  </sheetViews>
  <sheetFormatPr baseColWidth="10" defaultRowHeight="14.25" x14ac:dyDescent="0.2"/>
  <cols>
    <col min="1" max="1" width="20.75" customWidth="1"/>
    <col min="2" max="16" width="7.75" customWidth="1"/>
    <col min="17" max="17" width="6.25" customWidth="1"/>
    <col min="18" max="18" width="8.75" customWidth="1"/>
    <col min="19" max="19" width="10.375" customWidth="1"/>
  </cols>
  <sheetData>
    <row r="2" spans="1:15" ht="15.75" x14ac:dyDescent="0.3">
      <c r="A2" s="472" t="s">
        <v>178</v>
      </c>
    </row>
    <row r="3" spans="1:15" ht="15.75" x14ac:dyDescent="0.3">
      <c r="A3" s="472" t="s">
        <v>217</v>
      </c>
    </row>
    <row r="5" spans="1:15" ht="18" x14ac:dyDescent="0.25">
      <c r="A5" s="1" t="s">
        <v>33</v>
      </c>
    </row>
    <row r="6" spans="1:15" ht="15" x14ac:dyDescent="0.25">
      <c r="A6" s="2" t="s">
        <v>0</v>
      </c>
      <c r="B6" s="11" t="str">
        <f>'Deckungsbeitrag Arbeitsgänge'!B6</f>
        <v>Schwarze Johannisbeere, Ben Alder, Industrieware</v>
      </c>
      <c r="C6" s="11"/>
      <c r="D6" s="11"/>
      <c r="E6" s="11"/>
      <c r="F6" s="11"/>
      <c r="G6" s="11"/>
      <c r="H6" s="11"/>
      <c r="I6" s="13"/>
      <c r="J6" s="13"/>
      <c r="K6" t="s">
        <v>1</v>
      </c>
      <c r="M6" s="11" t="str">
        <f>'Deckungsbeitrag Arbeitsgänge'!K6</f>
        <v>Ertragsphase</v>
      </c>
      <c r="N6" s="13"/>
    </row>
    <row r="7" spans="1:15" ht="15" x14ac:dyDescent="0.25">
      <c r="B7" s="11">
        <f>'Deckungsbeitrag Arbeitsgänge'!B7</f>
        <v>0</v>
      </c>
      <c r="C7" s="11"/>
      <c r="D7" s="11"/>
      <c r="E7" s="11"/>
      <c r="F7" s="11"/>
      <c r="G7" s="11"/>
      <c r="H7" s="11"/>
      <c r="I7" s="13"/>
      <c r="J7" s="13"/>
    </row>
    <row r="8" spans="1:15" ht="15" thickBot="1" x14ac:dyDescent="0.25"/>
    <row r="9" spans="1:15" s="6" customFormat="1" ht="40.700000000000003" customHeight="1" thickBot="1" x14ac:dyDescent="0.25">
      <c r="A9" s="56" t="s">
        <v>4</v>
      </c>
      <c r="B9" s="59" t="s">
        <v>5</v>
      </c>
      <c r="C9" s="3" t="s">
        <v>34</v>
      </c>
      <c r="D9" s="4" t="s">
        <v>35</v>
      </c>
      <c r="E9" s="4" t="s">
        <v>36</v>
      </c>
      <c r="F9" s="4" t="s">
        <v>37</v>
      </c>
      <c r="G9" s="4" t="s">
        <v>38</v>
      </c>
      <c r="H9" s="4" t="s">
        <v>39</v>
      </c>
      <c r="I9" s="4" t="s">
        <v>40</v>
      </c>
      <c r="J9" s="4" t="s">
        <v>41</v>
      </c>
      <c r="K9" s="4" t="s">
        <v>42</v>
      </c>
      <c r="L9" s="4" t="s">
        <v>43</v>
      </c>
      <c r="M9" s="4" t="s">
        <v>44</v>
      </c>
      <c r="N9" s="5" t="s">
        <v>45</v>
      </c>
      <c r="O9" s="62" t="s">
        <v>11</v>
      </c>
    </row>
    <row r="10" spans="1:15" s="6" customFormat="1" ht="13.7" customHeight="1" x14ac:dyDescent="0.2">
      <c r="A10" s="57" t="str">
        <f>'Deckungsbeitrag Arbeitsgänge'!A10</f>
        <v>Ernte</v>
      </c>
      <c r="B10" s="57">
        <f>'Deckungsbeitrag Arbeitsgänge'!B10</f>
        <v>2</v>
      </c>
      <c r="C10" s="420"/>
      <c r="D10" s="421"/>
      <c r="E10" s="422"/>
      <c r="F10" s="423"/>
      <c r="G10" s="423"/>
      <c r="H10" s="422"/>
      <c r="I10" s="423">
        <v>2</v>
      </c>
      <c r="J10" s="423"/>
      <c r="K10" s="422"/>
      <c r="L10" s="423"/>
      <c r="M10" s="423"/>
      <c r="N10" s="424"/>
      <c r="O10" s="63">
        <f>SUM(C10:N10)</f>
        <v>2</v>
      </c>
    </row>
    <row r="11" spans="1:15" s="6" customFormat="1" ht="13.7" customHeight="1" x14ac:dyDescent="0.2">
      <c r="A11" s="57" t="str">
        <f>'Deckungsbeitrag Arbeitsgänge'!A11</f>
        <v>Ernte Transport, Kontrolle</v>
      </c>
      <c r="B11" s="57">
        <f>'Deckungsbeitrag Arbeitsgänge'!B11</f>
        <v>5</v>
      </c>
      <c r="C11" s="408"/>
      <c r="D11" s="347"/>
      <c r="E11" s="409"/>
      <c r="F11" s="410"/>
      <c r="G11" s="410"/>
      <c r="H11" s="409"/>
      <c r="I11" s="410">
        <v>5</v>
      </c>
      <c r="J11" s="410"/>
      <c r="K11" s="409"/>
      <c r="L11" s="410"/>
      <c r="M11" s="410"/>
      <c r="N11" s="411"/>
      <c r="O11" s="69">
        <f t="shared" ref="O11:O38" si="0">SUM(C11:N11)</f>
        <v>5</v>
      </c>
    </row>
    <row r="12" spans="1:15" s="6" customFormat="1" ht="13.7" customHeight="1" x14ac:dyDescent="0.2">
      <c r="A12" s="57" t="str">
        <f>'Deckungsbeitrag Arbeitsgänge'!A12</f>
        <v>Winterschnitt</v>
      </c>
      <c r="B12" s="57">
        <f>'Deckungsbeitrag Arbeitsgänge'!B12</f>
        <v>4</v>
      </c>
      <c r="C12" s="408">
        <v>4</v>
      </c>
      <c r="D12" s="347"/>
      <c r="E12" s="412"/>
      <c r="F12" s="410"/>
      <c r="G12" s="410"/>
      <c r="H12" s="412"/>
      <c r="I12" s="410"/>
      <c r="J12" s="410"/>
      <c r="K12" s="409"/>
      <c r="L12" s="410"/>
      <c r="M12" s="410"/>
      <c r="N12" s="411"/>
      <c r="O12" s="69">
        <f t="shared" si="0"/>
        <v>4</v>
      </c>
    </row>
    <row r="13" spans="1:15" s="6" customFormat="1" ht="13.7" customHeight="1" x14ac:dyDescent="0.2">
      <c r="A13" s="57" t="str">
        <f>'Deckungsbeitrag Arbeitsgänge'!A13</f>
        <v>Herbizid 2 x</v>
      </c>
      <c r="B13" s="57">
        <f>'Deckungsbeitrag Arbeitsgänge'!B13</f>
        <v>3</v>
      </c>
      <c r="C13" s="408"/>
      <c r="D13" s="347"/>
      <c r="E13" s="409">
        <v>1.5</v>
      </c>
      <c r="F13" s="410"/>
      <c r="G13" s="410"/>
      <c r="H13" s="412"/>
      <c r="I13" s="410"/>
      <c r="J13" s="410">
        <v>1.5</v>
      </c>
      <c r="K13" s="409"/>
      <c r="L13" s="410"/>
      <c r="M13" s="410"/>
      <c r="N13" s="411"/>
      <c r="O13" s="69">
        <f t="shared" si="0"/>
        <v>3</v>
      </c>
    </row>
    <row r="14" spans="1:15" s="6" customFormat="1" ht="13.7" customHeight="1" x14ac:dyDescent="0.2">
      <c r="A14" s="57" t="str">
        <f>'Deckungsbeitrag Arbeitsgänge'!A14</f>
        <v>Pflanzenschutz 7 x</v>
      </c>
      <c r="B14" s="57">
        <f>'Deckungsbeitrag Arbeitsgänge'!B14</f>
        <v>14</v>
      </c>
      <c r="C14" s="408"/>
      <c r="D14" s="347"/>
      <c r="E14" s="409"/>
      <c r="F14" s="410">
        <v>2</v>
      </c>
      <c r="G14" s="410">
        <v>2</v>
      </c>
      <c r="H14" s="409">
        <v>4</v>
      </c>
      <c r="I14" s="410">
        <v>2</v>
      </c>
      <c r="J14" s="410">
        <v>2</v>
      </c>
      <c r="K14" s="409">
        <v>2</v>
      </c>
      <c r="L14" s="410"/>
      <c r="M14" s="410"/>
      <c r="N14" s="411"/>
      <c r="O14" s="69">
        <f t="shared" si="0"/>
        <v>14</v>
      </c>
    </row>
    <row r="15" spans="1:15" s="6" customFormat="1" ht="13.7" customHeight="1" x14ac:dyDescent="0.2">
      <c r="A15" s="57" t="str">
        <f>'Deckungsbeitrag Arbeitsgänge'!A15</f>
        <v>Mulchen 5 x</v>
      </c>
      <c r="B15" s="57">
        <f>'Deckungsbeitrag Arbeitsgänge'!B15</f>
        <v>5</v>
      </c>
      <c r="C15" s="408"/>
      <c r="D15" s="347"/>
      <c r="E15" s="425"/>
      <c r="F15" s="410"/>
      <c r="G15" s="410">
        <v>1</v>
      </c>
      <c r="H15" s="409">
        <v>1</v>
      </c>
      <c r="I15" s="410">
        <v>1</v>
      </c>
      <c r="J15" s="410">
        <v>1</v>
      </c>
      <c r="K15" s="409">
        <v>1</v>
      </c>
      <c r="L15" s="410"/>
      <c r="M15" s="410"/>
      <c r="N15" s="411"/>
      <c r="O15" s="69">
        <f t="shared" si="0"/>
        <v>5</v>
      </c>
    </row>
    <row r="16" spans="1:15" s="6" customFormat="1" ht="13.7" customHeight="1" x14ac:dyDescent="0.2">
      <c r="A16" s="57" t="str">
        <f>'Deckungsbeitrag Arbeitsgänge'!A16</f>
        <v>N-Düngung 2 x</v>
      </c>
      <c r="B16" s="57">
        <f>'Deckungsbeitrag Arbeitsgänge'!B16</f>
        <v>2</v>
      </c>
      <c r="C16" s="408"/>
      <c r="D16" s="347"/>
      <c r="E16" s="409"/>
      <c r="F16" s="410"/>
      <c r="G16" s="410">
        <v>1</v>
      </c>
      <c r="H16" s="409"/>
      <c r="I16" s="410"/>
      <c r="J16" s="410"/>
      <c r="K16" s="409">
        <v>1</v>
      </c>
      <c r="L16" s="410"/>
      <c r="M16" s="410"/>
      <c r="N16" s="411"/>
      <c r="O16" s="69">
        <f t="shared" si="0"/>
        <v>2</v>
      </c>
    </row>
    <row r="17" spans="1:15" s="6" customFormat="1" ht="13.7" customHeight="1" x14ac:dyDescent="0.2">
      <c r="A17" s="57" t="str">
        <f>'Deckungsbeitrag Arbeitsgänge'!A17</f>
        <v>Bestandskontrolle</v>
      </c>
      <c r="B17" s="57">
        <f>'Deckungsbeitrag Arbeitsgänge'!B17</f>
        <v>5</v>
      </c>
      <c r="C17" s="408"/>
      <c r="D17" s="347"/>
      <c r="E17" s="409"/>
      <c r="F17" s="410">
        <v>1</v>
      </c>
      <c r="G17" s="410">
        <v>1</v>
      </c>
      <c r="H17" s="409">
        <v>1</v>
      </c>
      <c r="I17" s="410">
        <v>1</v>
      </c>
      <c r="J17" s="410">
        <v>1</v>
      </c>
      <c r="K17" s="409"/>
      <c r="L17" s="410"/>
      <c r="M17" s="410"/>
      <c r="N17" s="411"/>
      <c r="O17" s="69">
        <f t="shared" si="0"/>
        <v>5</v>
      </c>
    </row>
    <row r="18" spans="1:15" s="6" customFormat="1" ht="13.7" customHeight="1" x14ac:dyDescent="0.2">
      <c r="A18" s="57" t="str">
        <f>'Deckungsbeitrag Arbeitsgänge'!A18</f>
        <v>Aufwuchs v. Bäumen entf.</v>
      </c>
      <c r="B18" s="57">
        <f>'Deckungsbeitrag Arbeitsgänge'!B18</f>
        <v>4</v>
      </c>
      <c r="C18" s="408"/>
      <c r="D18" s="347"/>
      <c r="E18" s="409"/>
      <c r="F18" s="410"/>
      <c r="G18" s="410"/>
      <c r="H18" s="414">
        <v>2</v>
      </c>
      <c r="I18" s="410"/>
      <c r="J18" s="410"/>
      <c r="K18" s="414"/>
      <c r="L18" s="410"/>
      <c r="M18" s="410">
        <v>2</v>
      </c>
      <c r="N18" s="411"/>
      <c r="O18" s="69">
        <f t="shared" si="0"/>
        <v>4</v>
      </c>
    </row>
    <row r="19" spans="1:15" s="6" customFormat="1" ht="13.7" customHeight="1" x14ac:dyDescent="0.2">
      <c r="A19" s="57">
        <f>'Deckungsbeitrag Arbeitsgänge'!A19</f>
        <v>0</v>
      </c>
      <c r="B19" s="57">
        <f>'Deckungsbeitrag Arbeitsgänge'!B19</f>
        <v>0</v>
      </c>
      <c r="C19" s="408"/>
      <c r="D19" s="347"/>
      <c r="E19" s="409"/>
      <c r="F19" s="410"/>
      <c r="G19" s="410"/>
      <c r="H19" s="409"/>
      <c r="I19" s="410"/>
      <c r="J19" s="410"/>
      <c r="K19" s="414"/>
      <c r="L19" s="410"/>
      <c r="M19" s="410"/>
      <c r="N19" s="411"/>
      <c r="O19" s="69">
        <f t="shared" si="0"/>
        <v>0</v>
      </c>
    </row>
    <row r="20" spans="1:15" s="6" customFormat="1" ht="13.7" customHeight="1" x14ac:dyDescent="0.2">
      <c r="A20" s="57">
        <f>'Deckungsbeitrag Arbeitsgänge'!A20</f>
        <v>0</v>
      </c>
      <c r="B20" s="57">
        <f>'Deckungsbeitrag Arbeitsgänge'!B20</f>
        <v>0</v>
      </c>
      <c r="C20" s="408"/>
      <c r="D20" s="347"/>
      <c r="E20" s="409"/>
      <c r="F20" s="410"/>
      <c r="G20" s="410"/>
      <c r="H20" s="409"/>
      <c r="I20" s="410"/>
      <c r="J20" s="410"/>
      <c r="K20" s="409"/>
      <c r="L20" s="410"/>
      <c r="M20" s="410"/>
      <c r="N20" s="411"/>
      <c r="O20" s="69">
        <f t="shared" si="0"/>
        <v>0</v>
      </c>
    </row>
    <row r="21" spans="1:15" s="6" customFormat="1" ht="13.7" customHeight="1" x14ac:dyDescent="0.2">
      <c r="A21" s="57">
        <f>'Deckungsbeitrag Arbeitsgänge'!A21</f>
        <v>0</v>
      </c>
      <c r="B21" s="57">
        <f>'Deckungsbeitrag Arbeitsgänge'!B21</f>
        <v>0</v>
      </c>
      <c r="C21" s="408"/>
      <c r="D21" s="347"/>
      <c r="E21" s="409"/>
      <c r="F21" s="410"/>
      <c r="G21" s="410"/>
      <c r="H21" s="409"/>
      <c r="I21" s="410"/>
      <c r="J21" s="410"/>
      <c r="K21" s="409"/>
      <c r="L21" s="410"/>
      <c r="M21" s="410"/>
      <c r="N21" s="411"/>
      <c r="O21" s="69">
        <f t="shared" si="0"/>
        <v>0</v>
      </c>
    </row>
    <row r="22" spans="1:15" s="6" customFormat="1" ht="13.7" customHeight="1" x14ac:dyDescent="0.2">
      <c r="A22" s="57">
        <f>'Deckungsbeitrag Arbeitsgänge'!A22</f>
        <v>0</v>
      </c>
      <c r="B22" s="57">
        <f>'Deckungsbeitrag Arbeitsgänge'!B22</f>
        <v>0</v>
      </c>
      <c r="C22" s="408"/>
      <c r="D22" s="347"/>
      <c r="E22" s="409"/>
      <c r="F22" s="410"/>
      <c r="G22" s="410"/>
      <c r="H22" s="409"/>
      <c r="I22" s="410"/>
      <c r="J22" s="410"/>
      <c r="K22" s="409"/>
      <c r="L22" s="410"/>
      <c r="M22" s="410"/>
      <c r="N22" s="411"/>
      <c r="O22" s="69">
        <f t="shared" si="0"/>
        <v>0</v>
      </c>
    </row>
    <row r="23" spans="1:15" s="6" customFormat="1" ht="13.7" customHeight="1" x14ac:dyDescent="0.25">
      <c r="A23" s="57">
        <f>'Deckungsbeitrag Arbeitsgänge'!A23</f>
        <v>0</v>
      </c>
      <c r="B23" s="57">
        <f>'Deckungsbeitrag Arbeitsgänge'!B23</f>
        <v>0</v>
      </c>
      <c r="C23" s="408"/>
      <c r="D23" s="347"/>
      <c r="E23" s="409"/>
      <c r="F23" s="410"/>
      <c r="G23" s="410"/>
      <c r="H23" s="409"/>
      <c r="I23" s="410"/>
      <c r="J23" s="410"/>
      <c r="K23" s="409"/>
      <c r="L23" s="410"/>
      <c r="M23" s="410"/>
      <c r="N23" s="411"/>
      <c r="O23" s="69">
        <f t="shared" si="0"/>
        <v>0</v>
      </c>
    </row>
    <row r="24" spans="1:15" s="6" customFormat="1" ht="13.7" customHeight="1" x14ac:dyDescent="0.25">
      <c r="A24" s="57">
        <f>'Deckungsbeitrag Arbeitsgänge'!A24</f>
        <v>0</v>
      </c>
      <c r="B24" s="57">
        <f>'Deckungsbeitrag Arbeitsgänge'!B24</f>
        <v>0</v>
      </c>
      <c r="C24" s="408"/>
      <c r="D24" s="347"/>
      <c r="E24" s="409"/>
      <c r="F24" s="410"/>
      <c r="G24" s="410"/>
      <c r="H24" s="409"/>
      <c r="I24" s="410"/>
      <c r="J24" s="410"/>
      <c r="K24" s="409"/>
      <c r="L24" s="410"/>
      <c r="M24" s="410"/>
      <c r="N24" s="411"/>
      <c r="O24" s="69">
        <f t="shared" si="0"/>
        <v>0</v>
      </c>
    </row>
    <row r="25" spans="1:15" s="6" customFormat="1" ht="13.7" customHeight="1" x14ac:dyDescent="0.25">
      <c r="A25" s="57">
        <f>'Deckungsbeitrag Arbeitsgänge'!A25</f>
        <v>0</v>
      </c>
      <c r="B25" s="57">
        <f>'Deckungsbeitrag Arbeitsgänge'!B25</f>
        <v>0</v>
      </c>
      <c r="C25" s="408"/>
      <c r="D25" s="347"/>
      <c r="E25" s="409"/>
      <c r="F25" s="410"/>
      <c r="G25" s="410"/>
      <c r="H25" s="409"/>
      <c r="I25" s="410"/>
      <c r="J25" s="410"/>
      <c r="K25" s="409"/>
      <c r="L25" s="410"/>
      <c r="M25" s="410"/>
      <c r="N25" s="411"/>
      <c r="O25" s="69">
        <f t="shared" si="0"/>
        <v>0</v>
      </c>
    </row>
    <row r="26" spans="1:15" s="6" customFormat="1" ht="13.7" customHeight="1" x14ac:dyDescent="0.25">
      <c r="A26" s="57">
        <f>'Deckungsbeitrag Arbeitsgänge'!A26</f>
        <v>0</v>
      </c>
      <c r="B26" s="57">
        <f>'Deckungsbeitrag Arbeitsgänge'!B26</f>
        <v>0</v>
      </c>
      <c r="C26" s="408"/>
      <c r="D26" s="347"/>
      <c r="E26" s="409"/>
      <c r="F26" s="410"/>
      <c r="G26" s="410"/>
      <c r="H26" s="409"/>
      <c r="I26" s="410"/>
      <c r="J26" s="410"/>
      <c r="K26" s="409"/>
      <c r="L26" s="410"/>
      <c r="M26" s="410"/>
      <c r="N26" s="411"/>
      <c r="O26" s="69">
        <f t="shared" si="0"/>
        <v>0</v>
      </c>
    </row>
    <row r="27" spans="1:15" s="6" customFormat="1" ht="13.7" customHeight="1" x14ac:dyDescent="0.25">
      <c r="A27" s="57">
        <f>'Deckungsbeitrag Arbeitsgänge'!A27</f>
        <v>0</v>
      </c>
      <c r="B27" s="57">
        <f>'Deckungsbeitrag Arbeitsgänge'!B27</f>
        <v>0</v>
      </c>
      <c r="C27" s="408"/>
      <c r="D27" s="347"/>
      <c r="E27" s="409"/>
      <c r="F27" s="410"/>
      <c r="G27" s="410"/>
      <c r="H27" s="409"/>
      <c r="I27" s="410"/>
      <c r="J27" s="410"/>
      <c r="K27" s="409"/>
      <c r="L27" s="410"/>
      <c r="M27" s="410"/>
      <c r="N27" s="411"/>
      <c r="O27" s="69">
        <f t="shared" si="0"/>
        <v>0</v>
      </c>
    </row>
    <row r="28" spans="1:15" s="6" customFormat="1" ht="13.7" customHeight="1" x14ac:dyDescent="0.25">
      <c r="A28" s="57">
        <f>'Deckungsbeitrag Arbeitsgänge'!A28</f>
        <v>0</v>
      </c>
      <c r="B28" s="57">
        <f>'Deckungsbeitrag Arbeitsgänge'!B28</f>
        <v>0</v>
      </c>
      <c r="C28" s="408"/>
      <c r="D28" s="347"/>
      <c r="E28" s="409"/>
      <c r="F28" s="410"/>
      <c r="G28" s="410"/>
      <c r="H28" s="409"/>
      <c r="I28" s="410"/>
      <c r="J28" s="410"/>
      <c r="K28" s="409"/>
      <c r="L28" s="410"/>
      <c r="M28" s="410"/>
      <c r="N28" s="411"/>
      <c r="O28" s="69">
        <f t="shared" si="0"/>
        <v>0</v>
      </c>
    </row>
    <row r="29" spans="1:15" s="6" customFormat="1" ht="13.7" customHeight="1" x14ac:dyDescent="0.25">
      <c r="A29" s="57">
        <f>'Deckungsbeitrag Arbeitsgänge'!A29</f>
        <v>0</v>
      </c>
      <c r="B29" s="57">
        <f>'Deckungsbeitrag Arbeitsgänge'!B29</f>
        <v>0</v>
      </c>
      <c r="C29" s="408"/>
      <c r="D29" s="347"/>
      <c r="E29" s="409"/>
      <c r="F29" s="410"/>
      <c r="G29" s="410"/>
      <c r="H29" s="409"/>
      <c r="I29" s="410"/>
      <c r="J29" s="410"/>
      <c r="K29" s="409"/>
      <c r="L29" s="410"/>
      <c r="M29" s="410"/>
      <c r="N29" s="411"/>
      <c r="O29" s="69">
        <f t="shared" si="0"/>
        <v>0</v>
      </c>
    </row>
    <row r="30" spans="1:15" s="6" customFormat="1" ht="13.7" customHeight="1" x14ac:dyDescent="0.25">
      <c r="A30" s="57">
        <f>'Deckungsbeitrag Arbeitsgänge'!A30</f>
        <v>0</v>
      </c>
      <c r="B30" s="57">
        <f>'Deckungsbeitrag Arbeitsgänge'!B30</f>
        <v>0</v>
      </c>
      <c r="C30" s="408"/>
      <c r="D30" s="347"/>
      <c r="E30" s="409"/>
      <c r="F30" s="410"/>
      <c r="G30" s="410"/>
      <c r="H30" s="409"/>
      <c r="I30" s="410"/>
      <c r="J30" s="410"/>
      <c r="K30" s="409"/>
      <c r="L30" s="410"/>
      <c r="M30" s="410"/>
      <c r="N30" s="411"/>
      <c r="O30" s="69">
        <f t="shared" si="0"/>
        <v>0</v>
      </c>
    </row>
    <row r="31" spans="1:15" s="6" customFormat="1" ht="13.7" customHeight="1" x14ac:dyDescent="0.25">
      <c r="A31" s="57">
        <f>'Deckungsbeitrag Arbeitsgänge'!A31</f>
        <v>0</v>
      </c>
      <c r="B31" s="57">
        <f>'Deckungsbeitrag Arbeitsgänge'!B31</f>
        <v>0</v>
      </c>
      <c r="C31" s="408"/>
      <c r="D31" s="347"/>
      <c r="E31" s="409"/>
      <c r="F31" s="410"/>
      <c r="G31" s="410"/>
      <c r="H31" s="409"/>
      <c r="I31" s="410"/>
      <c r="J31" s="410"/>
      <c r="K31" s="409"/>
      <c r="L31" s="410"/>
      <c r="M31" s="410"/>
      <c r="N31" s="411"/>
      <c r="O31" s="69">
        <f t="shared" si="0"/>
        <v>0</v>
      </c>
    </row>
    <row r="32" spans="1:15" s="6" customFormat="1" ht="13.7" customHeight="1" x14ac:dyDescent="0.25">
      <c r="A32" s="57">
        <f>'Deckungsbeitrag Arbeitsgänge'!A32</f>
        <v>0</v>
      </c>
      <c r="B32" s="57">
        <f>'Deckungsbeitrag Arbeitsgänge'!B32</f>
        <v>0</v>
      </c>
      <c r="C32" s="408"/>
      <c r="D32" s="347"/>
      <c r="E32" s="409"/>
      <c r="F32" s="410"/>
      <c r="G32" s="410"/>
      <c r="H32" s="409"/>
      <c r="I32" s="410"/>
      <c r="J32" s="410"/>
      <c r="K32" s="409"/>
      <c r="L32" s="410"/>
      <c r="M32" s="410"/>
      <c r="N32" s="411"/>
      <c r="O32" s="69">
        <f t="shared" si="0"/>
        <v>0</v>
      </c>
    </row>
    <row r="33" spans="1:15" s="6" customFormat="1" ht="13.7" customHeight="1" x14ac:dyDescent="0.25">
      <c r="A33" s="57">
        <f>'Deckungsbeitrag Arbeitsgänge'!A33</f>
        <v>0</v>
      </c>
      <c r="B33" s="57">
        <f>'Deckungsbeitrag Arbeitsgänge'!B33</f>
        <v>0</v>
      </c>
      <c r="C33" s="408"/>
      <c r="D33" s="347"/>
      <c r="E33" s="409"/>
      <c r="F33" s="410"/>
      <c r="G33" s="410"/>
      <c r="H33" s="409"/>
      <c r="I33" s="410"/>
      <c r="J33" s="410"/>
      <c r="K33" s="409"/>
      <c r="L33" s="410"/>
      <c r="M33" s="410"/>
      <c r="N33" s="411"/>
      <c r="O33" s="69">
        <f t="shared" si="0"/>
        <v>0</v>
      </c>
    </row>
    <row r="34" spans="1:15" s="6" customFormat="1" ht="13.7" customHeight="1" x14ac:dyDescent="0.25">
      <c r="A34" s="57">
        <f>'Deckungsbeitrag Arbeitsgänge'!A34</f>
        <v>0</v>
      </c>
      <c r="B34" s="57">
        <f>'Deckungsbeitrag Arbeitsgänge'!B34</f>
        <v>0</v>
      </c>
      <c r="C34" s="408"/>
      <c r="D34" s="347"/>
      <c r="E34" s="409"/>
      <c r="F34" s="410"/>
      <c r="G34" s="410"/>
      <c r="H34" s="409"/>
      <c r="I34" s="410"/>
      <c r="J34" s="410"/>
      <c r="K34" s="409"/>
      <c r="L34" s="410"/>
      <c r="M34" s="410"/>
      <c r="N34" s="411"/>
      <c r="O34" s="69">
        <f t="shared" si="0"/>
        <v>0</v>
      </c>
    </row>
    <row r="35" spans="1:15" s="6" customFormat="1" ht="13.7" customHeight="1" x14ac:dyDescent="0.25">
      <c r="A35" s="57">
        <f>'Deckungsbeitrag Arbeitsgänge'!A35</f>
        <v>0</v>
      </c>
      <c r="B35" s="57">
        <f>'Deckungsbeitrag Arbeitsgänge'!B35</f>
        <v>0</v>
      </c>
      <c r="C35" s="408"/>
      <c r="D35" s="347"/>
      <c r="E35" s="409"/>
      <c r="F35" s="410"/>
      <c r="G35" s="410"/>
      <c r="H35" s="409"/>
      <c r="I35" s="410"/>
      <c r="J35" s="410"/>
      <c r="K35" s="409"/>
      <c r="L35" s="410"/>
      <c r="M35" s="410"/>
      <c r="N35" s="411"/>
      <c r="O35" s="69">
        <f t="shared" si="0"/>
        <v>0</v>
      </c>
    </row>
    <row r="36" spans="1:15" s="6" customFormat="1" ht="13.7" customHeight="1" x14ac:dyDescent="0.25">
      <c r="A36" s="57">
        <f>'Deckungsbeitrag Arbeitsgänge'!A36</f>
        <v>0</v>
      </c>
      <c r="B36" s="57">
        <f>'Deckungsbeitrag Arbeitsgänge'!B36</f>
        <v>0</v>
      </c>
      <c r="C36" s="408"/>
      <c r="D36" s="347"/>
      <c r="E36" s="409"/>
      <c r="F36" s="410"/>
      <c r="G36" s="410"/>
      <c r="H36" s="409"/>
      <c r="I36" s="410"/>
      <c r="J36" s="410"/>
      <c r="K36" s="409"/>
      <c r="L36" s="410"/>
      <c r="M36" s="410"/>
      <c r="N36" s="411"/>
      <c r="O36" s="69">
        <f t="shared" si="0"/>
        <v>0</v>
      </c>
    </row>
    <row r="37" spans="1:15" s="6" customFormat="1" ht="13.7" customHeight="1" x14ac:dyDescent="0.25">
      <c r="A37" s="57">
        <f>'Deckungsbeitrag Arbeitsgänge'!A37</f>
        <v>0</v>
      </c>
      <c r="B37" s="57">
        <f>'Deckungsbeitrag Arbeitsgänge'!B37</f>
        <v>0</v>
      </c>
      <c r="C37" s="408"/>
      <c r="D37" s="347"/>
      <c r="E37" s="409"/>
      <c r="F37" s="410"/>
      <c r="G37" s="410"/>
      <c r="H37" s="409"/>
      <c r="I37" s="410"/>
      <c r="J37" s="410"/>
      <c r="K37" s="409"/>
      <c r="L37" s="410"/>
      <c r="M37" s="410"/>
      <c r="N37" s="411"/>
      <c r="O37" s="69">
        <f t="shared" si="0"/>
        <v>0</v>
      </c>
    </row>
    <row r="38" spans="1:15" s="6" customFormat="1" ht="13.7" customHeight="1" thickBot="1" x14ac:dyDescent="0.3">
      <c r="A38" s="57">
        <f>'Deckungsbeitrag Arbeitsgänge'!A38</f>
        <v>0</v>
      </c>
      <c r="B38" s="57">
        <f>'Deckungsbeitrag Arbeitsgänge'!B38</f>
        <v>0</v>
      </c>
      <c r="C38" s="426"/>
      <c r="D38" s="427"/>
      <c r="E38" s="428"/>
      <c r="F38" s="429"/>
      <c r="G38" s="429"/>
      <c r="H38" s="428"/>
      <c r="I38" s="429"/>
      <c r="J38" s="429"/>
      <c r="K38" s="428"/>
      <c r="L38" s="429"/>
      <c r="M38" s="429"/>
      <c r="N38" s="430"/>
      <c r="O38" s="71">
        <f t="shared" si="0"/>
        <v>0</v>
      </c>
    </row>
    <row r="39" spans="1:15" s="6" customFormat="1" ht="13.7" customHeight="1" thickBot="1" x14ac:dyDescent="0.25">
      <c r="A39" s="22" t="s">
        <v>11</v>
      </c>
      <c r="B39" s="23">
        <f>SUM(B10:B38)</f>
        <v>44</v>
      </c>
      <c r="C39" s="23">
        <f>SUM(C10:C38)</f>
        <v>4</v>
      </c>
      <c r="D39" s="23">
        <f t="shared" ref="D39:N39" si="1">SUM(D10:D38)</f>
        <v>0</v>
      </c>
      <c r="E39" s="72">
        <f t="shared" si="1"/>
        <v>1.5</v>
      </c>
      <c r="F39" s="73">
        <f t="shared" si="1"/>
        <v>3</v>
      </c>
      <c r="G39" s="74">
        <f t="shared" si="1"/>
        <v>5</v>
      </c>
      <c r="H39" s="72">
        <f t="shared" si="1"/>
        <v>8</v>
      </c>
      <c r="I39" s="73">
        <f t="shared" si="1"/>
        <v>11</v>
      </c>
      <c r="J39" s="74">
        <f t="shared" si="1"/>
        <v>5.5</v>
      </c>
      <c r="K39" s="72">
        <f t="shared" si="1"/>
        <v>4</v>
      </c>
      <c r="L39" s="73">
        <f t="shared" si="1"/>
        <v>0</v>
      </c>
      <c r="M39" s="74">
        <f t="shared" si="1"/>
        <v>2</v>
      </c>
      <c r="N39" s="75">
        <f t="shared" si="1"/>
        <v>0</v>
      </c>
      <c r="O39" s="64">
        <f>SUM(C39:N39)</f>
        <v>44</v>
      </c>
    </row>
    <row r="40" spans="1:15" s="6" customFormat="1" ht="13.7" customHeight="1" x14ac:dyDescent="0.2">
      <c r="A40" s="39" t="s">
        <v>16</v>
      </c>
      <c r="B40" s="39"/>
      <c r="C40" s="39"/>
      <c r="D40" s="39"/>
      <c r="E40" s="43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15" s="6" customFormat="1" ht="13.7" customHeight="1" x14ac:dyDescent="0.2">
      <c r="A41" s="39"/>
      <c r="B41" s="39"/>
      <c r="C41" s="39"/>
      <c r="D41" s="39"/>
      <c r="E41" s="43"/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1:15" s="6" customFormat="1" ht="13.7" customHeight="1" x14ac:dyDescent="0.3">
      <c r="A42" s="472" t="s">
        <v>178</v>
      </c>
      <c r="B42"/>
      <c r="C42"/>
      <c r="D42"/>
      <c r="E42"/>
      <c r="F42"/>
      <c r="G42"/>
      <c r="H42"/>
      <c r="I42"/>
      <c r="J42" s="39"/>
      <c r="K42" s="39"/>
      <c r="L42" s="39"/>
      <c r="M42" s="39"/>
      <c r="N42" s="39"/>
      <c r="O42" s="39"/>
    </row>
    <row r="43" spans="1:15" s="6" customFormat="1" ht="13.7" customHeight="1" x14ac:dyDescent="0.3">
      <c r="A43" s="472" t="s">
        <v>217</v>
      </c>
      <c r="B43"/>
      <c r="C43"/>
      <c r="D43"/>
      <c r="E43"/>
      <c r="F43"/>
      <c r="G43"/>
      <c r="H43"/>
      <c r="I43"/>
      <c r="J43" s="39"/>
      <c r="K43" s="39"/>
      <c r="L43" s="39"/>
      <c r="M43" s="39"/>
      <c r="N43" s="39"/>
      <c r="O43" s="39"/>
    </row>
    <row r="44" spans="1:15" s="6" customFormat="1" ht="13.7" customHeight="1" x14ac:dyDescent="0.2">
      <c r="A44"/>
      <c r="B44"/>
      <c r="C44"/>
      <c r="D44"/>
      <c r="E44"/>
      <c r="F44"/>
      <c r="G44"/>
      <c r="H44"/>
      <c r="I44"/>
      <c r="J44" s="39"/>
      <c r="K44" s="39"/>
      <c r="L44" s="39"/>
      <c r="M44" s="39"/>
      <c r="N44" s="39"/>
      <c r="O44" s="39"/>
    </row>
    <row r="45" spans="1:15" ht="18" x14ac:dyDescent="0.25">
      <c r="A45" s="1" t="s">
        <v>33</v>
      </c>
    </row>
    <row r="46" spans="1:15" ht="18" x14ac:dyDescent="0.25">
      <c r="A46" s="2" t="s">
        <v>0</v>
      </c>
      <c r="B46" s="11" t="str">
        <f>'Deckungsbeitrag Arbeitsgänge'!B47</f>
        <v>Schwarze Johannisbeere, Ben Alder, Industrieware</v>
      </c>
      <c r="C46" s="12"/>
      <c r="D46" s="13"/>
      <c r="E46" s="13"/>
      <c r="F46" s="13"/>
      <c r="G46" s="13"/>
      <c r="H46" s="13"/>
      <c r="I46" s="13"/>
      <c r="J46" t="s">
        <v>1</v>
      </c>
      <c r="L46" s="11" t="str">
        <f>'Deckungsbeitrag Arbeitsgänge'!K47</f>
        <v>Junganlage</v>
      </c>
      <c r="M46" s="13"/>
    </row>
    <row r="47" spans="1:15" ht="15" x14ac:dyDescent="0.25">
      <c r="B47" s="11">
        <f>'Deckungsbeitrag Arbeitsgänge'!B48</f>
        <v>0</v>
      </c>
      <c r="C47" s="11"/>
      <c r="D47" s="11"/>
      <c r="E47" s="11"/>
      <c r="F47" s="11"/>
      <c r="G47" s="55"/>
      <c r="H47" s="13"/>
      <c r="I47" s="13"/>
      <c r="K47" s="54"/>
    </row>
    <row r="48" spans="1:15" ht="15" thickBot="1" x14ac:dyDescent="0.25"/>
    <row r="49" spans="1:15" ht="39" customHeight="1" thickBot="1" x14ac:dyDescent="0.25">
      <c r="A49" s="56" t="s">
        <v>4</v>
      </c>
      <c r="B49" s="59" t="s">
        <v>5</v>
      </c>
      <c r="C49" s="3" t="s">
        <v>34</v>
      </c>
      <c r="D49" s="4" t="s">
        <v>35</v>
      </c>
      <c r="E49" s="4" t="s">
        <v>36</v>
      </c>
      <c r="F49" s="4" t="s">
        <v>37</v>
      </c>
      <c r="G49" s="4" t="s">
        <v>38</v>
      </c>
      <c r="H49" s="4" t="s">
        <v>39</v>
      </c>
      <c r="I49" s="4" t="s">
        <v>40</v>
      </c>
      <c r="J49" s="4" t="s">
        <v>41</v>
      </c>
      <c r="K49" s="4" t="s">
        <v>42</v>
      </c>
      <c r="L49" s="4" t="s">
        <v>43</v>
      </c>
      <c r="M49" s="4" t="s">
        <v>44</v>
      </c>
      <c r="N49" s="5" t="s">
        <v>45</v>
      </c>
      <c r="O49" s="62" t="s">
        <v>11</v>
      </c>
    </row>
    <row r="50" spans="1:15" s="6" customFormat="1" ht="13.7" customHeight="1" x14ac:dyDescent="0.2">
      <c r="A50" s="57" t="str">
        <f>'Deckungsbeitrag Arbeitsgänge'!A51</f>
        <v>Ernte</v>
      </c>
      <c r="B50" s="65">
        <f>'Deckungsbeitrag Arbeitsgänge'!B51</f>
        <v>2</v>
      </c>
      <c r="C50" s="420"/>
      <c r="D50" s="421"/>
      <c r="E50" s="422"/>
      <c r="F50" s="423"/>
      <c r="G50" s="423"/>
      <c r="H50" s="422"/>
      <c r="I50" s="423">
        <v>2</v>
      </c>
      <c r="J50" s="423"/>
      <c r="K50" s="422"/>
      <c r="L50" s="423"/>
      <c r="M50" s="423"/>
      <c r="N50" s="424"/>
      <c r="O50" s="63">
        <f>SUM(C50:N50)</f>
        <v>2</v>
      </c>
    </row>
    <row r="51" spans="1:15" s="6" customFormat="1" ht="13.7" customHeight="1" x14ac:dyDescent="0.2">
      <c r="A51" s="57" t="str">
        <f>'Deckungsbeitrag Arbeitsgänge'!A52</f>
        <v>Ernte Transport, Kontrolle</v>
      </c>
      <c r="B51" s="65">
        <f>'Deckungsbeitrag Arbeitsgänge'!B52</f>
        <v>5</v>
      </c>
      <c r="C51" s="408"/>
      <c r="D51" s="347"/>
      <c r="E51" s="409"/>
      <c r="F51" s="410"/>
      <c r="G51" s="410"/>
      <c r="H51" s="409"/>
      <c r="I51" s="410">
        <v>5</v>
      </c>
      <c r="J51" s="410"/>
      <c r="K51" s="409"/>
      <c r="L51" s="410"/>
      <c r="M51" s="410"/>
      <c r="N51" s="411"/>
      <c r="O51" s="69">
        <f t="shared" ref="O51:O75" si="2">SUM(C51:N51)</f>
        <v>5</v>
      </c>
    </row>
    <row r="52" spans="1:15" s="6" customFormat="1" ht="13.7" customHeight="1" x14ac:dyDescent="0.2">
      <c r="A52" s="57" t="str">
        <f>'Deckungsbeitrag Arbeitsgänge'!A53</f>
        <v>Winterschnitt</v>
      </c>
      <c r="B52" s="65">
        <f>'Deckungsbeitrag Arbeitsgänge'!B53</f>
        <v>2</v>
      </c>
      <c r="C52" s="408">
        <v>2</v>
      </c>
      <c r="D52" s="347"/>
      <c r="E52" s="412"/>
      <c r="F52" s="410"/>
      <c r="G52" s="410"/>
      <c r="H52" s="412"/>
      <c r="I52" s="410"/>
      <c r="J52" s="410"/>
      <c r="K52" s="409"/>
      <c r="L52" s="410"/>
      <c r="M52" s="410"/>
      <c r="N52" s="411"/>
      <c r="O52" s="69">
        <f t="shared" si="2"/>
        <v>2</v>
      </c>
    </row>
    <row r="53" spans="1:15" s="6" customFormat="1" ht="13.7" customHeight="1" x14ac:dyDescent="0.2">
      <c r="A53" s="57" t="str">
        <f>'Deckungsbeitrag Arbeitsgänge'!A54</f>
        <v>Herbizid 2 x</v>
      </c>
      <c r="B53" s="65">
        <f>'Deckungsbeitrag Arbeitsgänge'!B54</f>
        <v>3</v>
      </c>
      <c r="C53" s="408"/>
      <c r="D53" s="347"/>
      <c r="E53" s="409">
        <v>1.5</v>
      </c>
      <c r="F53" s="410"/>
      <c r="G53" s="410"/>
      <c r="H53" s="412"/>
      <c r="I53" s="410"/>
      <c r="J53" s="410">
        <v>1.5</v>
      </c>
      <c r="K53" s="409"/>
      <c r="L53" s="410"/>
      <c r="M53" s="410"/>
      <c r="N53" s="411"/>
      <c r="O53" s="69">
        <f t="shared" si="2"/>
        <v>3</v>
      </c>
    </row>
    <row r="54" spans="1:15" s="6" customFormat="1" ht="13.7" customHeight="1" x14ac:dyDescent="0.2">
      <c r="A54" s="57" t="str">
        <f>'Deckungsbeitrag Arbeitsgänge'!A55</f>
        <v>Pflanzenschutz 5 x</v>
      </c>
      <c r="B54" s="65">
        <f>'Deckungsbeitrag Arbeitsgänge'!B55</f>
        <v>10</v>
      </c>
      <c r="C54" s="408"/>
      <c r="D54" s="347"/>
      <c r="E54" s="409"/>
      <c r="F54" s="410"/>
      <c r="G54" s="410">
        <v>1.5</v>
      </c>
      <c r="H54" s="409">
        <v>2</v>
      </c>
      <c r="I54" s="410">
        <v>3</v>
      </c>
      <c r="J54" s="410">
        <v>3</v>
      </c>
      <c r="K54" s="409"/>
      <c r="L54" s="410"/>
      <c r="M54" s="410"/>
      <c r="N54" s="411"/>
      <c r="O54" s="69">
        <f t="shared" si="2"/>
        <v>9.5</v>
      </c>
    </row>
    <row r="55" spans="1:15" s="6" customFormat="1" ht="13.7" customHeight="1" x14ac:dyDescent="0.2">
      <c r="A55" s="57" t="str">
        <f>'Deckungsbeitrag Arbeitsgänge'!A56</f>
        <v>Mulchen 5x</v>
      </c>
      <c r="B55" s="65">
        <f>'Deckungsbeitrag Arbeitsgänge'!B56</f>
        <v>5</v>
      </c>
      <c r="C55" s="408"/>
      <c r="D55" s="347"/>
      <c r="E55" s="425"/>
      <c r="F55" s="410"/>
      <c r="G55" s="410">
        <v>1</v>
      </c>
      <c r="H55" s="409">
        <v>1</v>
      </c>
      <c r="I55" s="410">
        <v>1</v>
      </c>
      <c r="J55" s="410">
        <v>1</v>
      </c>
      <c r="K55" s="409">
        <v>1</v>
      </c>
      <c r="L55" s="410"/>
      <c r="M55" s="410"/>
      <c r="N55" s="411"/>
      <c r="O55" s="69">
        <f t="shared" si="2"/>
        <v>5</v>
      </c>
    </row>
    <row r="56" spans="1:15" s="6" customFormat="1" ht="13.7" customHeight="1" x14ac:dyDescent="0.2">
      <c r="A56" s="57" t="str">
        <f>'Deckungsbeitrag Arbeitsgänge'!A57</f>
        <v>N-Düngung 2 x</v>
      </c>
      <c r="B56" s="65">
        <f>'Deckungsbeitrag Arbeitsgänge'!B57</f>
        <v>2</v>
      </c>
      <c r="C56" s="408"/>
      <c r="D56" s="347"/>
      <c r="E56" s="409"/>
      <c r="F56" s="410"/>
      <c r="G56" s="410">
        <v>1</v>
      </c>
      <c r="H56" s="409"/>
      <c r="I56" s="410">
        <v>1</v>
      </c>
      <c r="J56" s="410"/>
      <c r="K56" s="409"/>
      <c r="L56" s="410"/>
      <c r="M56" s="410"/>
      <c r="N56" s="411"/>
      <c r="O56" s="69">
        <f t="shared" si="2"/>
        <v>2</v>
      </c>
    </row>
    <row r="57" spans="1:15" s="6" customFormat="1" ht="13.7" customHeight="1" x14ac:dyDescent="0.2">
      <c r="A57" s="57" t="str">
        <f>'Deckungsbeitrag Arbeitsgänge'!A58</f>
        <v>Aufwuchs v. Bäumen entf.</v>
      </c>
      <c r="B57" s="65">
        <f>'Deckungsbeitrag Arbeitsgänge'!B58</f>
        <v>2</v>
      </c>
      <c r="C57" s="408"/>
      <c r="D57" s="347"/>
      <c r="E57" s="409"/>
      <c r="F57" s="410"/>
      <c r="G57" s="410"/>
      <c r="H57" s="409"/>
      <c r="I57" s="410"/>
      <c r="J57" s="410"/>
      <c r="K57" s="409"/>
      <c r="L57" s="410"/>
      <c r="M57" s="410">
        <v>2</v>
      </c>
      <c r="N57" s="411"/>
      <c r="O57" s="69">
        <f t="shared" si="2"/>
        <v>2</v>
      </c>
    </row>
    <row r="58" spans="1:15" s="6" customFormat="1" ht="13.7" customHeight="1" x14ac:dyDescent="0.2">
      <c r="A58" s="57" t="str">
        <f>'Deckungsbeitrag Arbeitsgänge'!A59</f>
        <v>Handhacke</v>
      </c>
      <c r="B58" s="65">
        <f>'Deckungsbeitrag Arbeitsgänge'!B59</f>
        <v>25</v>
      </c>
      <c r="C58" s="408"/>
      <c r="D58" s="347"/>
      <c r="E58" s="409"/>
      <c r="F58" s="410"/>
      <c r="G58" s="410"/>
      <c r="H58" s="414"/>
      <c r="I58" s="410"/>
      <c r="J58" s="410"/>
      <c r="K58" s="414">
        <v>12.5</v>
      </c>
      <c r="L58" s="410">
        <v>12.5</v>
      </c>
      <c r="M58" s="410"/>
      <c r="N58" s="411"/>
      <c r="O58" s="69">
        <f t="shared" si="2"/>
        <v>25</v>
      </c>
    </row>
    <row r="59" spans="1:15" s="6" customFormat="1" ht="13.7" customHeight="1" x14ac:dyDescent="0.2">
      <c r="A59" s="57">
        <f>'Deckungsbeitrag Arbeitsgänge'!A60</f>
        <v>0</v>
      </c>
      <c r="B59" s="65">
        <f>'Deckungsbeitrag Arbeitsgänge'!B60</f>
        <v>0</v>
      </c>
      <c r="C59" s="408"/>
      <c r="D59" s="347"/>
      <c r="E59" s="409"/>
      <c r="F59" s="410"/>
      <c r="G59" s="410"/>
      <c r="H59" s="409"/>
      <c r="I59" s="410"/>
      <c r="J59" s="410"/>
      <c r="K59" s="414"/>
      <c r="L59" s="410"/>
      <c r="M59" s="410"/>
      <c r="N59" s="411"/>
      <c r="O59" s="69">
        <f t="shared" si="2"/>
        <v>0</v>
      </c>
    </row>
    <row r="60" spans="1:15" s="6" customFormat="1" ht="13.7" customHeight="1" x14ac:dyDescent="0.2">
      <c r="A60" s="57">
        <f>'Deckungsbeitrag Arbeitsgänge'!A61</f>
        <v>0</v>
      </c>
      <c r="B60" s="65">
        <f>'Deckungsbeitrag Arbeitsgänge'!B61</f>
        <v>0</v>
      </c>
      <c r="C60" s="408"/>
      <c r="D60" s="347"/>
      <c r="E60" s="409"/>
      <c r="F60" s="410"/>
      <c r="G60" s="410"/>
      <c r="H60" s="409"/>
      <c r="I60" s="410"/>
      <c r="J60" s="410"/>
      <c r="K60" s="409"/>
      <c r="L60" s="410"/>
      <c r="M60" s="410"/>
      <c r="N60" s="411"/>
      <c r="O60" s="69">
        <f t="shared" si="2"/>
        <v>0</v>
      </c>
    </row>
    <row r="61" spans="1:15" s="6" customFormat="1" ht="13.7" customHeight="1" x14ac:dyDescent="0.2">
      <c r="A61" s="57">
        <f>'Deckungsbeitrag Arbeitsgänge'!A62</f>
        <v>0</v>
      </c>
      <c r="B61" s="65">
        <f>'Deckungsbeitrag Arbeitsgänge'!B62</f>
        <v>0</v>
      </c>
      <c r="C61" s="408"/>
      <c r="D61" s="347"/>
      <c r="E61" s="409"/>
      <c r="F61" s="410"/>
      <c r="G61" s="410"/>
      <c r="H61" s="409"/>
      <c r="I61" s="410"/>
      <c r="J61" s="410"/>
      <c r="K61" s="409"/>
      <c r="L61" s="410"/>
      <c r="M61" s="410"/>
      <c r="N61" s="411"/>
      <c r="O61" s="69">
        <f t="shared" si="2"/>
        <v>0</v>
      </c>
    </row>
    <row r="62" spans="1:15" s="6" customFormat="1" ht="13.7" customHeight="1" x14ac:dyDescent="0.2">
      <c r="A62" s="57">
        <f>'Deckungsbeitrag Arbeitsgänge'!A63</f>
        <v>0</v>
      </c>
      <c r="B62" s="65">
        <f>'Deckungsbeitrag Arbeitsgänge'!B63</f>
        <v>0</v>
      </c>
      <c r="C62" s="408"/>
      <c r="D62" s="347"/>
      <c r="E62" s="409"/>
      <c r="F62" s="410"/>
      <c r="G62" s="410"/>
      <c r="H62" s="409"/>
      <c r="I62" s="410"/>
      <c r="J62" s="410"/>
      <c r="K62" s="409"/>
      <c r="L62" s="410"/>
      <c r="M62" s="410"/>
      <c r="N62" s="411"/>
      <c r="O62" s="69">
        <f t="shared" si="2"/>
        <v>0</v>
      </c>
    </row>
    <row r="63" spans="1:15" s="6" customFormat="1" ht="13.7" customHeight="1" x14ac:dyDescent="0.2">
      <c r="A63" s="57">
        <f>'Deckungsbeitrag Arbeitsgänge'!A64</f>
        <v>0</v>
      </c>
      <c r="B63" s="65">
        <f>'Deckungsbeitrag Arbeitsgänge'!B64</f>
        <v>0</v>
      </c>
      <c r="C63" s="408"/>
      <c r="D63" s="347"/>
      <c r="E63" s="409"/>
      <c r="F63" s="410"/>
      <c r="G63" s="410"/>
      <c r="H63" s="409"/>
      <c r="I63" s="410"/>
      <c r="J63" s="410"/>
      <c r="K63" s="409"/>
      <c r="L63" s="410"/>
      <c r="M63" s="410"/>
      <c r="N63" s="411"/>
      <c r="O63" s="69">
        <f t="shared" si="2"/>
        <v>0</v>
      </c>
    </row>
    <row r="64" spans="1:15" s="6" customFormat="1" ht="13.7" customHeight="1" x14ac:dyDescent="0.2">
      <c r="A64" s="57">
        <f>'Deckungsbeitrag Arbeitsgänge'!A65</f>
        <v>0</v>
      </c>
      <c r="B64" s="65">
        <f>'Deckungsbeitrag Arbeitsgänge'!B65</f>
        <v>0</v>
      </c>
      <c r="C64" s="408"/>
      <c r="D64" s="347"/>
      <c r="E64" s="409"/>
      <c r="F64" s="410"/>
      <c r="G64" s="410"/>
      <c r="H64" s="409"/>
      <c r="I64" s="410"/>
      <c r="J64" s="410"/>
      <c r="K64" s="409"/>
      <c r="L64" s="410"/>
      <c r="M64" s="410"/>
      <c r="N64" s="411"/>
      <c r="O64" s="69">
        <f t="shared" si="2"/>
        <v>0</v>
      </c>
    </row>
    <row r="65" spans="1:15" s="6" customFormat="1" ht="13.7" customHeight="1" x14ac:dyDescent="0.2">
      <c r="A65" s="57">
        <f>'Deckungsbeitrag Arbeitsgänge'!A66</f>
        <v>0</v>
      </c>
      <c r="B65" s="65">
        <f>'Deckungsbeitrag Arbeitsgänge'!B66</f>
        <v>0</v>
      </c>
      <c r="C65" s="408"/>
      <c r="D65" s="347"/>
      <c r="E65" s="409"/>
      <c r="F65" s="410"/>
      <c r="G65" s="410"/>
      <c r="H65" s="409"/>
      <c r="I65" s="410"/>
      <c r="J65" s="410"/>
      <c r="K65" s="409"/>
      <c r="L65" s="410"/>
      <c r="M65" s="410"/>
      <c r="N65" s="411"/>
      <c r="O65" s="69">
        <f t="shared" si="2"/>
        <v>0</v>
      </c>
    </row>
    <row r="66" spans="1:15" s="6" customFormat="1" ht="13.7" customHeight="1" x14ac:dyDescent="0.2">
      <c r="A66" s="57">
        <f>'Deckungsbeitrag Arbeitsgänge'!A67</f>
        <v>0</v>
      </c>
      <c r="B66" s="65">
        <f>'Deckungsbeitrag Arbeitsgänge'!B67</f>
        <v>0</v>
      </c>
      <c r="C66" s="408"/>
      <c r="D66" s="347"/>
      <c r="E66" s="409"/>
      <c r="F66" s="410"/>
      <c r="G66" s="410"/>
      <c r="H66" s="409"/>
      <c r="I66" s="410"/>
      <c r="J66" s="410"/>
      <c r="K66" s="409"/>
      <c r="L66" s="410"/>
      <c r="M66" s="410"/>
      <c r="N66" s="411"/>
      <c r="O66" s="69">
        <f t="shared" si="2"/>
        <v>0</v>
      </c>
    </row>
    <row r="67" spans="1:15" s="6" customFormat="1" ht="13.7" customHeight="1" x14ac:dyDescent="0.2">
      <c r="A67" s="57">
        <f>'Deckungsbeitrag Arbeitsgänge'!A68</f>
        <v>0</v>
      </c>
      <c r="B67" s="65">
        <f>'Deckungsbeitrag Arbeitsgänge'!B68</f>
        <v>0</v>
      </c>
      <c r="C67" s="408"/>
      <c r="D67" s="347"/>
      <c r="E67" s="409"/>
      <c r="F67" s="410"/>
      <c r="G67" s="410"/>
      <c r="H67" s="409"/>
      <c r="I67" s="410"/>
      <c r="J67" s="410"/>
      <c r="K67" s="409"/>
      <c r="L67" s="410"/>
      <c r="M67" s="410"/>
      <c r="N67" s="411"/>
      <c r="O67" s="69">
        <f t="shared" si="2"/>
        <v>0</v>
      </c>
    </row>
    <row r="68" spans="1:15" s="6" customFormat="1" ht="13.7" customHeight="1" x14ac:dyDescent="0.2">
      <c r="A68" s="57">
        <f>'Deckungsbeitrag Arbeitsgänge'!A69</f>
        <v>0</v>
      </c>
      <c r="B68" s="65">
        <f>'Deckungsbeitrag Arbeitsgänge'!B69</f>
        <v>0</v>
      </c>
      <c r="C68" s="408"/>
      <c r="D68" s="347"/>
      <c r="E68" s="409"/>
      <c r="F68" s="410"/>
      <c r="G68" s="410"/>
      <c r="H68" s="409"/>
      <c r="I68" s="410"/>
      <c r="J68" s="410"/>
      <c r="K68" s="409"/>
      <c r="L68" s="410"/>
      <c r="M68" s="410"/>
      <c r="N68" s="411"/>
      <c r="O68" s="69">
        <f t="shared" si="2"/>
        <v>0</v>
      </c>
    </row>
    <row r="69" spans="1:15" s="6" customFormat="1" ht="13.7" customHeight="1" x14ac:dyDescent="0.2">
      <c r="A69" s="57">
        <f>'Deckungsbeitrag Arbeitsgänge'!A70</f>
        <v>0</v>
      </c>
      <c r="B69" s="65">
        <f>'Deckungsbeitrag Arbeitsgänge'!B70</f>
        <v>0</v>
      </c>
      <c r="C69" s="408"/>
      <c r="D69" s="347"/>
      <c r="E69" s="409"/>
      <c r="F69" s="410"/>
      <c r="G69" s="410"/>
      <c r="H69" s="409"/>
      <c r="I69" s="410"/>
      <c r="J69" s="410"/>
      <c r="K69" s="409"/>
      <c r="L69" s="410"/>
      <c r="M69" s="410"/>
      <c r="N69" s="411"/>
      <c r="O69" s="69">
        <f t="shared" si="2"/>
        <v>0</v>
      </c>
    </row>
    <row r="70" spans="1:15" s="6" customFormat="1" ht="13.7" customHeight="1" x14ac:dyDescent="0.2">
      <c r="A70" s="57">
        <f>'Deckungsbeitrag Arbeitsgänge'!A71</f>
        <v>0</v>
      </c>
      <c r="B70" s="65">
        <f>'Deckungsbeitrag Arbeitsgänge'!B71</f>
        <v>0</v>
      </c>
      <c r="C70" s="408"/>
      <c r="D70" s="347"/>
      <c r="E70" s="409"/>
      <c r="F70" s="410"/>
      <c r="G70" s="410"/>
      <c r="H70" s="409"/>
      <c r="I70" s="410"/>
      <c r="J70" s="410"/>
      <c r="K70" s="409"/>
      <c r="L70" s="410"/>
      <c r="M70" s="410"/>
      <c r="N70" s="411"/>
      <c r="O70" s="69">
        <f t="shared" si="2"/>
        <v>0</v>
      </c>
    </row>
    <row r="71" spans="1:15" s="6" customFormat="1" ht="13.7" customHeight="1" x14ac:dyDescent="0.2">
      <c r="A71" s="57">
        <f>'Deckungsbeitrag Arbeitsgänge'!A72</f>
        <v>0</v>
      </c>
      <c r="B71" s="65">
        <f>'Deckungsbeitrag Arbeitsgänge'!B72</f>
        <v>0</v>
      </c>
      <c r="C71" s="408"/>
      <c r="D71" s="347"/>
      <c r="E71" s="409"/>
      <c r="F71" s="410"/>
      <c r="G71" s="410"/>
      <c r="H71" s="409"/>
      <c r="I71" s="410"/>
      <c r="J71" s="410"/>
      <c r="K71" s="409"/>
      <c r="L71" s="410"/>
      <c r="M71" s="410"/>
      <c r="N71" s="411"/>
      <c r="O71" s="69">
        <f t="shared" si="2"/>
        <v>0</v>
      </c>
    </row>
    <row r="72" spans="1:15" s="6" customFormat="1" ht="13.7" customHeight="1" x14ac:dyDescent="0.2">
      <c r="A72" s="57">
        <f>'Deckungsbeitrag Arbeitsgänge'!A73</f>
        <v>0</v>
      </c>
      <c r="B72" s="65">
        <f>'Deckungsbeitrag Arbeitsgänge'!B73</f>
        <v>0</v>
      </c>
      <c r="C72" s="408"/>
      <c r="D72" s="347"/>
      <c r="E72" s="409"/>
      <c r="F72" s="410"/>
      <c r="G72" s="410"/>
      <c r="H72" s="409"/>
      <c r="I72" s="410"/>
      <c r="J72" s="410"/>
      <c r="K72" s="409"/>
      <c r="L72" s="410"/>
      <c r="M72" s="410"/>
      <c r="N72" s="411"/>
      <c r="O72" s="69">
        <f t="shared" si="2"/>
        <v>0</v>
      </c>
    </row>
    <row r="73" spans="1:15" s="6" customFormat="1" ht="13.7" customHeight="1" x14ac:dyDescent="0.2">
      <c r="A73" s="57">
        <f>'Deckungsbeitrag Arbeitsgänge'!A74</f>
        <v>0</v>
      </c>
      <c r="B73" s="65">
        <f>'Deckungsbeitrag Arbeitsgänge'!B74</f>
        <v>0</v>
      </c>
      <c r="C73" s="408"/>
      <c r="D73" s="347"/>
      <c r="E73" s="409"/>
      <c r="F73" s="410"/>
      <c r="G73" s="410"/>
      <c r="H73" s="409"/>
      <c r="I73" s="410"/>
      <c r="J73" s="410"/>
      <c r="K73" s="409"/>
      <c r="L73" s="410"/>
      <c r="M73" s="410"/>
      <c r="N73" s="411"/>
      <c r="O73" s="69">
        <f t="shared" si="2"/>
        <v>0</v>
      </c>
    </row>
    <row r="74" spans="1:15" s="6" customFormat="1" ht="13.7" customHeight="1" x14ac:dyDescent="0.2">
      <c r="A74" s="57">
        <f>'Deckungsbeitrag Arbeitsgänge'!A75</f>
        <v>0</v>
      </c>
      <c r="B74" s="65">
        <f>'Deckungsbeitrag Arbeitsgänge'!B75</f>
        <v>0</v>
      </c>
      <c r="C74" s="408"/>
      <c r="D74" s="347"/>
      <c r="E74" s="409"/>
      <c r="F74" s="410"/>
      <c r="G74" s="410"/>
      <c r="H74" s="409"/>
      <c r="I74" s="410"/>
      <c r="J74" s="410"/>
      <c r="K74" s="409"/>
      <c r="L74" s="410"/>
      <c r="M74" s="410"/>
      <c r="N74" s="411"/>
      <c r="O74" s="69">
        <f t="shared" si="2"/>
        <v>0</v>
      </c>
    </row>
    <row r="75" spans="1:15" s="6" customFormat="1" ht="13.7" customHeight="1" thickBot="1" x14ac:dyDescent="0.25">
      <c r="A75" s="57">
        <f>'Deckungsbeitrag Arbeitsgänge'!A76</f>
        <v>0</v>
      </c>
      <c r="B75" s="65">
        <f>'Deckungsbeitrag Arbeitsgänge'!B76</f>
        <v>0</v>
      </c>
      <c r="C75" s="426"/>
      <c r="D75" s="427"/>
      <c r="E75" s="428"/>
      <c r="F75" s="429"/>
      <c r="G75" s="429"/>
      <c r="H75" s="428"/>
      <c r="I75" s="429"/>
      <c r="J75" s="429"/>
      <c r="K75" s="428"/>
      <c r="L75" s="429"/>
      <c r="M75" s="429"/>
      <c r="N75" s="430"/>
      <c r="O75" s="71">
        <f t="shared" si="2"/>
        <v>0</v>
      </c>
    </row>
    <row r="76" spans="1:15" ht="13.7" customHeight="1" thickBot="1" x14ac:dyDescent="0.25">
      <c r="A76" s="22" t="s">
        <v>11</v>
      </c>
      <c r="B76" s="23">
        <f>SUM(B50:B75)</f>
        <v>56</v>
      </c>
      <c r="C76" s="23">
        <f>SUM(C50:C75)</f>
        <v>2</v>
      </c>
      <c r="D76" s="23">
        <f t="shared" ref="D76" si="3">SUM(D50:D75)</f>
        <v>0</v>
      </c>
      <c r="E76" s="72">
        <f t="shared" ref="E76" si="4">SUM(E50:E75)</f>
        <v>1.5</v>
      </c>
      <c r="F76" s="73">
        <f t="shared" ref="F76" si="5">SUM(F50:F75)</f>
        <v>0</v>
      </c>
      <c r="G76" s="74">
        <f t="shared" ref="G76" si="6">SUM(G50:G75)</f>
        <v>3.5</v>
      </c>
      <c r="H76" s="72">
        <f t="shared" ref="H76" si="7">SUM(H50:H75)</f>
        <v>3</v>
      </c>
      <c r="I76" s="73">
        <f t="shared" ref="I76" si="8">SUM(I50:I75)</f>
        <v>12</v>
      </c>
      <c r="J76" s="74">
        <f t="shared" ref="J76" si="9">SUM(J50:J75)</f>
        <v>5.5</v>
      </c>
      <c r="K76" s="72">
        <f t="shared" ref="K76" si="10">SUM(K50:K75)</f>
        <v>13.5</v>
      </c>
      <c r="L76" s="73">
        <f t="shared" ref="L76" si="11">SUM(L50:L75)</f>
        <v>12.5</v>
      </c>
      <c r="M76" s="74">
        <f t="shared" ref="M76" si="12">SUM(M50:M75)</f>
        <v>2</v>
      </c>
      <c r="N76" s="75">
        <f t="shared" ref="N76" si="13">SUM(N50:N75)</f>
        <v>0</v>
      </c>
      <c r="O76" s="64">
        <f>SUM(C76:N76)</f>
        <v>55.5</v>
      </c>
    </row>
    <row r="77" spans="1:15" x14ac:dyDescent="0.2">
      <c r="A77" s="6" t="s">
        <v>16</v>
      </c>
      <c r="B77" s="6"/>
      <c r="C77" s="6"/>
      <c r="D77" s="6"/>
      <c r="E77" s="7"/>
      <c r="F77" s="6"/>
      <c r="G77" s="6"/>
      <c r="H77" s="6"/>
      <c r="I77" s="6"/>
      <c r="J77" s="6"/>
      <c r="K77" s="6"/>
      <c r="L77" s="6"/>
      <c r="M77" s="6"/>
      <c r="N77" s="6"/>
    </row>
    <row r="78" spans="1:15" x14ac:dyDescent="0.2">
      <c r="A78" s="6"/>
      <c r="B78" s="6"/>
      <c r="C78" s="6"/>
      <c r="D78" s="6"/>
      <c r="E78" s="7"/>
      <c r="F78" s="6"/>
      <c r="G78" s="6"/>
      <c r="H78" s="6"/>
      <c r="I78" s="6"/>
      <c r="J78" s="6"/>
      <c r="K78" s="6"/>
      <c r="L78" s="6"/>
      <c r="M78" s="6"/>
      <c r="N78" s="6"/>
    </row>
    <row r="79" spans="1:15" ht="15.75" x14ac:dyDescent="0.3">
      <c r="A79" s="472" t="s">
        <v>178</v>
      </c>
      <c r="J79" s="6"/>
      <c r="K79" s="6"/>
      <c r="L79" s="6"/>
      <c r="M79" s="6"/>
      <c r="N79" s="6"/>
    </row>
    <row r="80" spans="1:15" ht="15.75" x14ac:dyDescent="0.3">
      <c r="A80" s="472" t="s">
        <v>217</v>
      </c>
      <c r="J80" s="6"/>
      <c r="K80" s="6"/>
      <c r="L80" s="6"/>
      <c r="M80" s="6"/>
      <c r="N80" s="6"/>
    </row>
    <row r="81" spans="1:15" x14ac:dyDescent="0.2">
      <c r="J81" s="6"/>
      <c r="K81" s="6"/>
      <c r="L81" s="6"/>
      <c r="M81" s="6"/>
      <c r="N81" s="6"/>
    </row>
    <row r="82" spans="1:15" ht="18" x14ac:dyDescent="0.25">
      <c r="A82" s="1" t="s">
        <v>33</v>
      </c>
    </row>
    <row r="83" spans="1:15" ht="18.75" thickBot="1" x14ac:dyDescent="0.3">
      <c r="A83" s="2" t="s">
        <v>0</v>
      </c>
      <c r="B83" s="11" t="str">
        <f>'Deckungsbeitrag Arbeitsgänge'!B85</f>
        <v>Schwarze Johannisbeere, Ben Alder, Industrieware</v>
      </c>
      <c r="C83" s="12"/>
      <c r="D83" s="13"/>
      <c r="E83" s="13"/>
      <c r="F83" s="13"/>
      <c r="G83" s="13"/>
      <c r="H83" s="13"/>
      <c r="I83" t="s">
        <v>1</v>
      </c>
      <c r="K83" s="11" t="str">
        <f>'Deckungsbeitrag Arbeitsgänge'!K85</f>
        <v>Neuanlage</v>
      </c>
      <c r="L83" s="13"/>
    </row>
    <row r="84" spans="1:15" ht="39" customHeight="1" thickBot="1" x14ac:dyDescent="0.25">
      <c r="A84" s="56" t="s">
        <v>4</v>
      </c>
      <c r="B84" s="59" t="s">
        <v>5</v>
      </c>
      <c r="C84" s="3" t="s">
        <v>34</v>
      </c>
      <c r="D84" s="4" t="s">
        <v>35</v>
      </c>
      <c r="E84" s="4" t="s">
        <v>36</v>
      </c>
      <c r="F84" s="4" t="s">
        <v>37</v>
      </c>
      <c r="G84" s="4" t="s">
        <v>38</v>
      </c>
      <c r="H84" s="4" t="s">
        <v>39</v>
      </c>
      <c r="I84" s="4" t="s">
        <v>40</v>
      </c>
      <c r="J84" s="4" t="s">
        <v>41</v>
      </c>
      <c r="K84" s="4" t="s">
        <v>42</v>
      </c>
      <c r="L84" s="4" t="s">
        <v>43</v>
      </c>
      <c r="M84" s="4" t="s">
        <v>44</v>
      </c>
      <c r="N84" s="5" t="s">
        <v>45</v>
      </c>
      <c r="O84" s="62" t="s">
        <v>11</v>
      </c>
    </row>
    <row r="85" spans="1:15" ht="13.7" customHeight="1" x14ac:dyDescent="0.2">
      <c r="A85" s="76" t="str">
        <f>'Deckungsbeitrag Arbeitsgänge'!A87</f>
        <v>Altanlage roden</v>
      </c>
      <c r="B85" s="65"/>
      <c r="C85" s="61"/>
      <c r="D85" s="8"/>
      <c r="E85" s="66"/>
      <c r="F85" s="67"/>
      <c r="G85" s="67"/>
      <c r="H85" s="66"/>
      <c r="I85" s="67"/>
      <c r="J85" s="67"/>
      <c r="K85" s="66"/>
      <c r="L85" s="67"/>
      <c r="M85" s="67"/>
      <c r="N85" s="68"/>
      <c r="O85" s="63"/>
    </row>
    <row r="86" spans="1:15" ht="13.7" customHeight="1" x14ac:dyDescent="0.2">
      <c r="A86" s="58" t="str">
        <f>'Deckungsbeitrag Arbeitsgänge'!A88</f>
        <v>Abhäckseln der Sträucher</v>
      </c>
      <c r="B86" s="60">
        <f>'Deckungsbeitrag Arbeitsgänge'!B88</f>
        <v>5</v>
      </c>
      <c r="C86" s="408"/>
      <c r="D86" s="347"/>
      <c r="E86" s="409"/>
      <c r="F86" s="410"/>
      <c r="G86" s="410"/>
      <c r="H86" s="409"/>
      <c r="I86" s="410"/>
      <c r="J86" s="410"/>
      <c r="K86" s="409"/>
      <c r="L86" s="410">
        <v>4</v>
      </c>
      <c r="M86" s="410"/>
      <c r="N86" s="411"/>
      <c r="O86" s="69">
        <f t="shared" ref="O86:O115" si="14">SUM(C86:N86)</f>
        <v>4</v>
      </c>
    </row>
    <row r="87" spans="1:15" ht="13.7" customHeight="1" x14ac:dyDescent="0.2">
      <c r="A87" s="58" t="str">
        <f>'Deckungsbeitrag Arbeitsgänge'!A89</f>
        <v>Wurzelstock fräsen</v>
      </c>
      <c r="B87" s="60">
        <f>'Deckungsbeitrag Arbeitsgänge'!B89</f>
        <v>4</v>
      </c>
      <c r="C87" s="408"/>
      <c r="D87" s="347"/>
      <c r="E87" s="412"/>
      <c r="F87" s="410"/>
      <c r="G87" s="410"/>
      <c r="H87" s="412"/>
      <c r="I87" s="410"/>
      <c r="J87" s="410"/>
      <c r="K87" s="409"/>
      <c r="L87" s="410">
        <v>5</v>
      </c>
      <c r="M87" s="410"/>
      <c r="N87" s="411"/>
      <c r="O87" s="69">
        <f t="shared" si="14"/>
        <v>5</v>
      </c>
    </row>
    <row r="88" spans="1:15" ht="13.7" customHeight="1" x14ac:dyDescent="0.2">
      <c r="A88" s="58" t="str">
        <f>'Deckungsbeitrag Arbeitsgänge'!A90</f>
        <v>Herbizid Fahrgasse</v>
      </c>
      <c r="B88" s="60">
        <f>'Deckungsbeitrag Arbeitsgänge'!B90</f>
        <v>1</v>
      </c>
      <c r="C88" s="408"/>
      <c r="D88" s="347"/>
      <c r="E88" s="409"/>
      <c r="F88" s="410"/>
      <c r="G88" s="410"/>
      <c r="H88" s="412"/>
      <c r="I88" s="410"/>
      <c r="J88" s="410"/>
      <c r="K88" s="409"/>
      <c r="L88" s="410">
        <v>1</v>
      </c>
      <c r="M88" s="410"/>
      <c r="N88" s="411"/>
      <c r="O88" s="69">
        <f t="shared" si="14"/>
        <v>1</v>
      </c>
    </row>
    <row r="89" spans="1:15" ht="13.7" customHeight="1" x14ac:dyDescent="0.2">
      <c r="A89" s="58">
        <f>'Deckungsbeitrag Arbeitsgänge'!A91</f>
        <v>0</v>
      </c>
      <c r="B89" s="60">
        <f>'Deckungsbeitrag Arbeitsgänge'!B91</f>
        <v>0</v>
      </c>
      <c r="C89" s="413"/>
      <c r="D89" s="412"/>
      <c r="E89" s="412"/>
      <c r="F89" s="412"/>
      <c r="G89" s="412"/>
      <c r="H89" s="412"/>
      <c r="I89" s="412"/>
      <c r="J89" s="412"/>
      <c r="K89" s="412"/>
      <c r="L89" s="412"/>
      <c r="M89" s="412"/>
      <c r="N89" s="414"/>
      <c r="O89" s="69">
        <f t="shared" si="14"/>
        <v>0</v>
      </c>
    </row>
    <row r="90" spans="1:15" ht="13.7" customHeight="1" x14ac:dyDescent="0.2">
      <c r="A90" s="58">
        <f>'Deckungsbeitrag Arbeitsgänge'!A92</f>
        <v>0</v>
      </c>
      <c r="B90" s="60">
        <f>'Deckungsbeitrag Arbeitsgänge'!B92</f>
        <v>0</v>
      </c>
      <c r="C90" s="413"/>
      <c r="D90" s="412"/>
      <c r="E90" s="412"/>
      <c r="F90" s="412"/>
      <c r="G90" s="412"/>
      <c r="H90" s="412"/>
      <c r="I90" s="412"/>
      <c r="J90" s="412"/>
      <c r="K90" s="412"/>
      <c r="L90" s="412"/>
      <c r="M90" s="412"/>
      <c r="N90" s="414"/>
      <c r="O90" s="69">
        <f t="shared" si="14"/>
        <v>0</v>
      </c>
    </row>
    <row r="91" spans="1:15" ht="13.7" customHeight="1" x14ac:dyDescent="0.2">
      <c r="A91" s="58">
        <f>'Deckungsbeitrag Arbeitsgänge'!A93</f>
        <v>0</v>
      </c>
      <c r="B91" s="60">
        <f>'Deckungsbeitrag Arbeitsgänge'!B93</f>
        <v>0</v>
      </c>
      <c r="C91" s="413"/>
      <c r="D91" s="412"/>
      <c r="E91" s="412"/>
      <c r="F91" s="412"/>
      <c r="G91" s="412"/>
      <c r="H91" s="412"/>
      <c r="I91" s="412"/>
      <c r="J91" s="412"/>
      <c r="K91" s="412"/>
      <c r="L91" s="412"/>
      <c r="M91" s="412"/>
      <c r="N91" s="414"/>
      <c r="O91" s="69">
        <f t="shared" si="14"/>
        <v>0</v>
      </c>
    </row>
    <row r="92" spans="1:15" ht="13.7" customHeight="1" x14ac:dyDescent="0.2">
      <c r="A92" s="77" t="str">
        <f>'Deckungsbeitrag Arbeitsgänge'!A94</f>
        <v>Anlage erstellen</v>
      </c>
      <c r="B92" s="60"/>
      <c r="C92" s="83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69"/>
    </row>
    <row r="93" spans="1:15" ht="13.7" customHeight="1" x14ac:dyDescent="0.2">
      <c r="A93" s="58" t="str">
        <f>'Deckungsbeitrag Arbeitsgänge'!A95</f>
        <v>Untergrundlockern</v>
      </c>
      <c r="B93" s="60">
        <f>'Deckungsbeitrag Arbeitsgänge'!B95</f>
        <v>5</v>
      </c>
      <c r="C93" s="415"/>
      <c r="D93" s="414"/>
      <c r="E93" s="414">
        <v>5</v>
      </c>
      <c r="F93" s="414"/>
      <c r="G93" s="414"/>
      <c r="H93" s="414"/>
      <c r="I93" s="414"/>
      <c r="J93" s="414"/>
      <c r="K93" s="414"/>
      <c r="L93" s="414"/>
      <c r="M93" s="414"/>
      <c r="N93" s="414"/>
      <c r="O93" s="69">
        <f t="shared" si="14"/>
        <v>5</v>
      </c>
    </row>
    <row r="94" spans="1:15" ht="13.7" customHeight="1" x14ac:dyDescent="0.2">
      <c r="A94" s="58" t="str">
        <f>'Deckungsbeitrag Arbeitsgänge'!A96</f>
        <v>Pflügen</v>
      </c>
      <c r="B94" s="60">
        <f>'Deckungsbeitrag Arbeitsgänge'!B96</f>
        <v>2</v>
      </c>
      <c r="C94" s="415"/>
      <c r="D94" s="414"/>
      <c r="E94" s="414">
        <v>2</v>
      </c>
      <c r="F94" s="414"/>
      <c r="G94" s="414"/>
      <c r="H94" s="414"/>
      <c r="I94" s="414"/>
      <c r="J94" s="414"/>
      <c r="K94" s="414"/>
      <c r="L94" s="414"/>
      <c r="M94" s="414"/>
      <c r="N94" s="414"/>
      <c r="O94" s="69">
        <f t="shared" si="14"/>
        <v>2</v>
      </c>
    </row>
    <row r="95" spans="1:15" ht="13.7" customHeight="1" x14ac:dyDescent="0.2">
      <c r="A95" s="58" t="str">
        <f>'Deckungsbeitrag Arbeitsgänge'!A97</f>
        <v>Fräsen 2 x</v>
      </c>
      <c r="B95" s="60">
        <f>'Deckungsbeitrag Arbeitsgänge'!B97</f>
        <v>5</v>
      </c>
      <c r="C95" s="415"/>
      <c r="D95" s="414"/>
      <c r="E95" s="414"/>
      <c r="F95" s="414">
        <v>5</v>
      </c>
      <c r="G95" s="414"/>
      <c r="H95" s="414"/>
      <c r="I95" s="414"/>
      <c r="J95" s="414"/>
      <c r="K95" s="414"/>
      <c r="L95" s="414"/>
      <c r="M95" s="414"/>
      <c r="N95" s="414"/>
      <c r="O95" s="69">
        <f t="shared" si="14"/>
        <v>5</v>
      </c>
    </row>
    <row r="96" spans="1:15" ht="13.7" customHeight="1" x14ac:dyDescent="0.2">
      <c r="A96" s="58" t="str">
        <f>'Deckungsbeitrag Arbeitsgänge'!A98</f>
        <v>Bodenuntersuchung</v>
      </c>
      <c r="B96" s="60">
        <f>'Deckungsbeitrag Arbeitsgänge'!B98</f>
        <v>1</v>
      </c>
      <c r="C96" s="415"/>
      <c r="D96" s="414"/>
      <c r="E96" s="414"/>
      <c r="F96" s="414">
        <v>1</v>
      </c>
      <c r="G96" s="414"/>
      <c r="H96" s="414"/>
      <c r="I96" s="414"/>
      <c r="J96" s="414"/>
      <c r="K96" s="414"/>
      <c r="L96" s="414"/>
      <c r="M96" s="414"/>
      <c r="N96" s="414"/>
      <c r="O96" s="69">
        <f t="shared" si="14"/>
        <v>1</v>
      </c>
    </row>
    <row r="97" spans="1:15" ht="13.7" customHeight="1" x14ac:dyDescent="0.2">
      <c r="A97" s="58" t="str">
        <f>'Deckungsbeitrag Arbeitsgänge'!A99</f>
        <v>Vermessen der Reihen</v>
      </c>
      <c r="B97" s="60">
        <f>'Deckungsbeitrag Arbeitsgänge'!B99</f>
        <v>1</v>
      </c>
      <c r="C97" s="415"/>
      <c r="D97" s="414"/>
      <c r="E97" s="414"/>
      <c r="F97" s="414">
        <v>1</v>
      </c>
      <c r="G97" s="414"/>
      <c r="H97" s="414"/>
      <c r="I97" s="414"/>
      <c r="J97" s="414"/>
      <c r="K97" s="414"/>
      <c r="L97" s="414"/>
      <c r="M97" s="414"/>
      <c r="N97" s="414"/>
      <c r="O97" s="69">
        <f t="shared" si="14"/>
        <v>1</v>
      </c>
    </row>
    <row r="98" spans="1:15" ht="13.7" customHeight="1" x14ac:dyDescent="0.2">
      <c r="A98" s="58" t="str">
        <f>'Deckungsbeitrag Arbeitsgänge'!A100</f>
        <v>Pflanzen</v>
      </c>
      <c r="B98" s="60">
        <f>'Deckungsbeitrag Arbeitsgänge'!B100</f>
        <v>25</v>
      </c>
      <c r="C98" s="415"/>
      <c r="D98" s="414"/>
      <c r="E98" s="414"/>
      <c r="F98" s="414">
        <v>25</v>
      </c>
      <c r="G98" s="414"/>
      <c r="H98" s="414"/>
      <c r="I98" s="414"/>
      <c r="J98" s="414"/>
      <c r="K98" s="414"/>
      <c r="L98" s="414"/>
      <c r="M98" s="414"/>
      <c r="N98" s="414"/>
      <c r="O98" s="69">
        <f t="shared" si="14"/>
        <v>25</v>
      </c>
    </row>
    <row r="99" spans="1:15" ht="13.7" customHeight="1" x14ac:dyDescent="0.2">
      <c r="A99" s="58" t="str">
        <f>'Deckungsbeitrag Arbeitsgänge'!A101</f>
        <v>Einsaat Begrünung</v>
      </c>
      <c r="B99" s="60">
        <f>'Deckungsbeitrag Arbeitsgänge'!B101</f>
        <v>2</v>
      </c>
      <c r="C99" s="415"/>
      <c r="D99" s="414"/>
      <c r="E99" s="414"/>
      <c r="F99" s="414"/>
      <c r="G99" s="414">
        <v>2</v>
      </c>
      <c r="H99" s="414"/>
      <c r="I99" s="414"/>
      <c r="J99" s="414"/>
      <c r="K99" s="414"/>
      <c r="L99" s="414"/>
      <c r="M99" s="414"/>
      <c r="N99" s="414"/>
      <c r="O99" s="69">
        <f t="shared" si="14"/>
        <v>2</v>
      </c>
    </row>
    <row r="100" spans="1:15" ht="13.7" customHeight="1" x14ac:dyDescent="0.2">
      <c r="A100" s="58">
        <f>'Deckungsbeitrag Arbeitsgänge'!A102</f>
        <v>0</v>
      </c>
      <c r="B100" s="60">
        <f>'Deckungsbeitrag Arbeitsgänge'!B102</f>
        <v>0</v>
      </c>
      <c r="C100" s="415"/>
      <c r="D100" s="414"/>
      <c r="E100" s="412"/>
      <c r="F100" s="414"/>
      <c r="G100" s="414"/>
      <c r="H100" s="414"/>
      <c r="I100" s="414"/>
      <c r="J100" s="414"/>
      <c r="K100" s="414"/>
      <c r="L100" s="414"/>
      <c r="M100" s="414"/>
      <c r="N100" s="414"/>
      <c r="O100" s="69">
        <f t="shared" si="14"/>
        <v>0</v>
      </c>
    </row>
    <row r="101" spans="1:15" ht="13.7" customHeight="1" x14ac:dyDescent="0.2">
      <c r="A101" s="58">
        <f>'Deckungsbeitrag Arbeitsgänge'!A103</f>
        <v>0</v>
      </c>
      <c r="B101" s="60">
        <f>'Deckungsbeitrag Arbeitsgänge'!B103</f>
        <v>0</v>
      </c>
      <c r="C101" s="415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69">
        <f t="shared" si="14"/>
        <v>0</v>
      </c>
    </row>
    <row r="102" spans="1:15" ht="13.7" customHeight="1" x14ac:dyDescent="0.2">
      <c r="A102" s="58">
        <f>'Deckungsbeitrag Arbeitsgänge'!A104</f>
        <v>0</v>
      </c>
      <c r="B102" s="60">
        <f>'Deckungsbeitrag Arbeitsgänge'!B104</f>
        <v>0</v>
      </c>
      <c r="C102" s="415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69">
        <f t="shared" si="14"/>
        <v>0</v>
      </c>
    </row>
    <row r="103" spans="1:15" ht="13.7" customHeight="1" x14ac:dyDescent="0.2">
      <c r="A103" s="58">
        <f>'Deckungsbeitrag Arbeitsgänge'!A105</f>
        <v>0</v>
      </c>
      <c r="B103" s="60">
        <f>'Deckungsbeitrag Arbeitsgänge'!B105</f>
        <v>0</v>
      </c>
      <c r="C103" s="415"/>
      <c r="D103" s="414"/>
      <c r="E103" s="414"/>
      <c r="F103" s="414"/>
      <c r="G103" s="414"/>
      <c r="H103" s="414"/>
      <c r="I103" s="414"/>
      <c r="J103" s="414"/>
      <c r="K103" s="414"/>
      <c r="L103" s="414"/>
      <c r="M103" s="414"/>
      <c r="N103" s="414"/>
      <c r="O103" s="69">
        <f t="shared" si="14"/>
        <v>0</v>
      </c>
    </row>
    <row r="104" spans="1:15" ht="13.7" customHeight="1" x14ac:dyDescent="0.2">
      <c r="A104" s="58">
        <f>'Deckungsbeitrag Arbeitsgänge'!A106</f>
        <v>0</v>
      </c>
      <c r="B104" s="60">
        <f>'Deckungsbeitrag Arbeitsgänge'!B106</f>
        <v>0</v>
      </c>
      <c r="C104" s="415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69">
        <f t="shared" si="14"/>
        <v>0</v>
      </c>
    </row>
    <row r="105" spans="1:15" ht="13.7" customHeight="1" x14ac:dyDescent="0.2">
      <c r="A105" s="58">
        <f>'Deckungsbeitrag Arbeitsgänge'!A107</f>
        <v>0</v>
      </c>
      <c r="B105" s="60">
        <f>'Deckungsbeitrag Arbeitsgänge'!B107</f>
        <v>0</v>
      </c>
      <c r="C105" s="83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69">
        <f t="shared" si="14"/>
        <v>0</v>
      </c>
    </row>
    <row r="106" spans="1:15" ht="13.7" customHeight="1" x14ac:dyDescent="0.2">
      <c r="A106" s="77" t="str">
        <f>'Deckungsbeitrag Arbeitsgänge'!A108</f>
        <v>Pflegearbeiten</v>
      </c>
      <c r="B106" s="60"/>
      <c r="C106" s="83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69"/>
    </row>
    <row r="107" spans="1:15" ht="13.7" customHeight="1" x14ac:dyDescent="0.2">
      <c r="A107" s="58" t="str">
        <f>'Deckungsbeitrag Arbeitsgänge'!A109</f>
        <v>Herbizid 2 x</v>
      </c>
      <c r="B107" s="60">
        <f>'Deckungsbeitrag Arbeitsgänge'!B109</f>
        <v>3</v>
      </c>
      <c r="C107" s="415"/>
      <c r="D107" s="414"/>
      <c r="E107" s="414">
        <v>1.5</v>
      </c>
      <c r="F107" s="414"/>
      <c r="G107" s="414"/>
      <c r="H107" s="414"/>
      <c r="I107" s="414"/>
      <c r="J107" s="414">
        <v>1.5</v>
      </c>
      <c r="K107" s="414"/>
      <c r="L107" s="414"/>
      <c r="M107" s="414"/>
      <c r="N107" s="414"/>
      <c r="O107" s="69">
        <f t="shared" si="14"/>
        <v>3</v>
      </c>
    </row>
    <row r="108" spans="1:15" ht="13.7" customHeight="1" x14ac:dyDescent="0.2">
      <c r="A108" s="58" t="str">
        <f>'Deckungsbeitrag Arbeitsgänge'!A110</f>
        <v>Pflanzenschutz 3 x</v>
      </c>
      <c r="B108" s="60">
        <f>'Deckungsbeitrag Arbeitsgänge'!B110</f>
        <v>6</v>
      </c>
      <c r="C108" s="415"/>
      <c r="D108" s="414"/>
      <c r="E108" s="414"/>
      <c r="F108" s="414"/>
      <c r="G108" s="414">
        <v>2</v>
      </c>
      <c r="H108" s="414"/>
      <c r="I108" s="414">
        <v>2</v>
      </c>
      <c r="J108" s="414">
        <v>2</v>
      </c>
      <c r="K108" s="414"/>
      <c r="L108" s="414"/>
      <c r="M108" s="414"/>
      <c r="N108" s="414"/>
      <c r="O108" s="69">
        <f t="shared" si="14"/>
        <v>6</v>
      </c>
    </row>
    <row r="109" spans="1:15" ht="13.7" customHeight="1" x14ac:dyDescent="0.2">
      <c r="A109" s="58" t="str">
        <f>'Deckungsbeitrag Arbeitsgänge'!A111</f>
        <v>Mulchen 3 x</v>
      </c>
      <c r="B109" s="60">
        <f>'Deckungsbeitrag Arbeitsgänge'!B111</f>
        <v>3</v>
      </c>
      <c r="C109" s="415"/>
      <c r="D109" s="414"/>
      <c r="E109" s="414"/>
      <c r="F109" s="414"/>
      <c r="G109" s="414"/>
      <c r="H109" s="414"/>
      <c r="I109" s="414">
        <v>1</v>
      </c>
      <c r="J109" s="414">
        <v>1</v>
      </c>
      <c r="K109" s="414">
        <v>1</v>
      </c>
      <c r="L109" s="414"/>
      <c r="M109" s="414"/>
      <c r="N109" s="414"/>
      <c r="O109" s="69">
        <f t="shared" si="14"/>
        <v>3</v>
      </c>
    </row>
    <row r="110" spans="1:15" ht="13.7" customHeight="1" x14ac:dyDescent="0.2">
      <c r="A110" s="58" t="str">
        <f>'Deckungsbeitrag Arbeitsgänge'!A112</f>
        <v>N-Düngung</v>
      </c>
      <c r="B110" s="60">
        <f>'Deckungsbeitrag Arbeitsgänge'!B112</f>
        <v>1</v>
      </c>
      <c r="C110" s="415"/>
      <c r="D110" s="414"/>
      <c r="E110" s="414"/>
      <c r="F110" s="414"/>
      <c r="G110" s="414">
        <v>1</v>
      </c>
      <c r="H110" s="414"/>
      <c r="I110" s="414"/>
      <c r="J110" s="414"/>
      <c r="K110" s="414"/>
      <c r="L110" s="414"/>
      <c r="M110" s="414"/>
      <c r="N110" s="414"/>
      <c r="O110" s="69">
        <f t="shared" si="14"/>
        <v>1</v>
      </c>
    </row>
    <row r="111" spans="1:15" ht="13.7" customHeight="1" x14ac:dyDescent="0.2">
      <c r="A111" s="58" t="str">
        <f>'Deckungsbeitrag Arbeitsgänge'!A113</f>
        <v>Masch.hacke Reihen 3 x</v>
      </c>
      <c r="B111" s="60">
        <f>'Deckungsbeitrag Arbeitsgänge'!B113</f>
        <v>6</v>
      </c>
      <c r="C111" s="415"/>
      <c r="D111" s="414"/>
      <c r="E111" s="414"/>
      <c r="F111" s="414"/>
      <c r="G111" s="414">
        <v>2</v>
      </c>
      <c r="H111" s="414"/>
      <c r="I111" s="414">
        <v>2</v>
      </c>
      <c r="J111" s="414"/>
      <c r="K111" s="414">
        <v>2</v>
      </c>
      <c r="L111" s="414"/>
      <c r="M111" s="414"/>
      <c r="N111" s="414"/>
      <c r="O111" s="69">
        <f t="shared" si="14"/>
        <v>6</v>
      </c>
    </row>
    <row r="112" spans="1:15" ht="13.7" customHeight="1" x14ac:dyDescent="0.2">
      <c r="A112" s="58" t="str">
        <f>'Deckungsbeitrag Arbeitsgänge'!A114</f>
        <v>Handhacke Reihen 3 x</v>
      </c>
      <c r="B112" s="60">
        <f>'Deckungsbeitrag Arbeitsgänge'!B114</f>
        <v>75</v>
      </c>
      <c r="C112" s="408"/>
      <c r="D112" s="347"/>
      <c r="E112" s="409"/>
      <c r="F112" s="410"/>
      <c r="G112" s="410">
        <v>25</v>
      </c>
      <c r="H112" s="409"/>
      <c r="I112" s="410">
        <v>25</v>
      </c>
      <c r="J112" s="410"/>
      <c r="K112" s="409">
        <v>25</v>
      </c>
      <c r="L112" s="410"/>
      <c r="M112" s="410"/>
      <c r="N112" s="411"/>
      <c r="O112" s="69">
        <f t="shared" si="14"/>
        <v>75</v>
      </c>
    </row>
    <row r="113" spans="1:15" ht="13.7" customHeight="1" x14ac:dyDescent="0.2">
      <c r="A113" s="58">
        <f>'Deckungsbeitrag Arbeitsgänge'!A115</f>
        <v>0</v>
      </c>
      <c r="B113" s="60">
        <f>'Deckungsbeitrag Arbeitsgänge'!B115</f>
        <v>0</v>
      </c>
      <c r="C113" s="408"/>
      <c r="D113" s="347"/>
      <c r="E113" s="409"/>
      <c r="F113" s="410"/>
      <c r="G113" s="410"/>
      <c r="H113" s="409"/>
      <c r="I113" s="410"/>
      <c r="J113" s="410"/>
      <c r="K113" s="409"/>
      <c r="L113" s="410"/>
      <c r="M113" s="410"/>
      <c r="N113" s="411"/>
      <c r="O113" s="69">
        <f t="shared" si="14"/>
        <v>0</v>
      </c>
    </row>
    <row r="114" spans="1:15" ht="13.7" customHeight="1" thickBot="1" x14ac:dyDescent="0.25">
      <c r="A114" s="58">
        <f>'Deckungsbeitrag Arbeitsgänge'!A116</f>
        <v>0</v>
      </c>
      <c r="B114" s="60">
        <f>'Deckungsbeitrag Arbeitsgänge'!B116</f>
        <v>0</v>
      </c>
      <c r="C114" s="416"/>
      <c r="D114" s="352"/>
      <c r="E114" s="417"/>
      <c r="F114" s="418"/>
      <c r="G114" s="418"/>
      <c r="H114" s="417"/>
      <c r="I114" s="418"/>
      <c r="J114" s="418"/>
      <c r="K114" s="417"/>
      <c r="L114" s="418"/>
      <c r="M114" s="418"/>
      <c r="N114" s="419"/>
      <c r="O114" s="78">
        <f t="shared" si="14"/>
        <v>0</v>
      </c>
    </row>
    <row r="115" spans="1:15" ht="15" thickBot="1" x14ac:dyDescent="0.25">
      <c r="A115" s="3" t="s">
        <v>11</v>
      </c>
      <c r="B115" s="89">
        <f>SUM(B85:B114)</f>
        <v>145</v>
      </c>
      <c r="C115" s="79">
        <f>SUM(C85:C114)</f>
        <v>0</v>
      </c>
      <c r="D115" s="23">
        <f t="shared" ref="D115:N115" si="15">SUM(D85:D114)</f>
        <v>0</v>
      </c>
      <c r="E115" s="81">
        <f t="shared" si="15"/>
        <v>8.5</v>
      </c>
      <c r="F115" s="73">
        <f t="shared" si="15"/>
        <v>32</v>
      </c>
      <c r="G115" s="73">
        <f t="shared" si="15"/>
        <v>32</v>
      </c>
      <c r="H115" s="81">
        <f t="shared" si="15"/>
        <v>0</v>
      </c>
      <c r="I115" s="73">
        <f t="shared" si="15"/>
        <v>30</v>
      </c>
      <c r="J115" s="73">
        <f t="shared" si="15"/>
        <v>4.5</v>
      </c>
      <c r="K115" s="81">
        <f t="shared" si="15"/>
        <v>28</v>
      </c>
      <c r="L115" s="73">
        <f t="shared" si="15"/>
        <v>10</v>
      </c>
      <c r="M115" s="73">
        <f t="shared" si="15"/>
        <v>0</v>
      </c>
      <c r="N115" s="82">
        <f t="shared" si="15"/>
        <v>0</v>
      </c>
      <c r="O115" s="80">
        <f t="shared" si="14"/>
        <v>145</v>
      </c>
    </row>
    <row r="116" spans="1:15" x14ac:dyDescent="0.2">
      <c r="A116" s="6" t="s">
        <v>16</v>
      </c>
    </row>
    <row r="119" spans="1:15" ht="18" x14ac:dyDescent="0.25">
      <c r="A119" s="1" t="s">
        <v>33</v>
      </c>
    </row>
    <row r="121" spans="1:15" ht="15" x14ac:dyDescent="0.25">
      <c r="A121" s="2" t="s">
        <v>46</v>
      </c>
      <c r="B121" t="s">
        <v>53</v>
      </c>
    </row>
    <row r="122" spans="1:15" ht="15" x14ac:dyDescent="0.25">
      <c r="A122" s="2"/>
      <c r="B122" s="43" t="s">
        <v>48</v>
      </c>
    </row>
    <row r="123" spans="1:15" x14ac:dyDescent="0.2">
      <c r="A123" s="47" t="s">
        <v>49</v>
      </c>
      <c r="B123" s="40" t="s">
        <v>2</v>
      </c>
      <c r="C123" s="42"/>
      <c r="D123" s="40" t="s">
        <v>19</v>
      </c>
      <c r="E123" s="42"/>
      <c r="F123" s="40" t="s">
        <v>20</v>
      </c>
      <c r="G123" s="42"/>
      <c r="H123" s="40" t="s">
        <v>50</v>
      </c>
      <c r="I123" s="42"/>
    </row>
    <row r="124" spans="1:15" x14ac:dyDescent="0.2">
      <c r="A124" s="47" t="s">
        <v>51</v>
      </c>
      <c r="B124" s="407">
        <v>9</v>
      </c>
      <c r="C124" s="42"/>
      <c r="D124" s="407">
        <v>2</v>
      </c>
      <c r="E124" s="42"/>
      <c r="F124" s="407">
        <v>1</v>
      </c>
      <c r="G124" s="42"/>
      <c r="H124" s="40">
        <f>B124+D124+F124</f>
        <v>12</v>
      </c>
      <c r="I124" s="42"/>
    </row>
    <row r="125" spans="1:15" x14ac:dyDescent="0.2">
      <c r="A125" s="86"/>
      <c r="B125" s="154"/>
      <c r="C125" s="42"/>
      <c r="D125" s="155"/>
      <c r="E125" s="42"/>
      <c r="F125" s="155"/>
      <c r="G125" s="42"/>
      <c r="H125" s="155"/>
      <c r="I125" s="42"/>
    </row>
    <row r="126" spans="1:15" x14ac:dyDescent="0.2">
      <c r="A126" s="87"/>
      <c r="B126" s="52"/>
      <c r="C126" s="52"/>
      <c r="D126" s="52"/>
      <c r="E126" s="52"/>
      <c r="F126" s="52"/>
      <c r="G126" s="52"/>
      <c r="H126" s="88"/>
      <c r="I126" s="52"/>
    </row>
    <row r="127" spans="1:15" x14ac:dyDescent="0.2">
      <c r="A127" s="87"/>
      <c r="B127" s="52"/>
      <c r="C127" s="52"/>
      <c r="D127" s="52"/>
      <c r="E127" s="52"/>
      <c r="F127" s="52"/>
      <c r="G127" s="52"/>
      <c r="H127" s="88"/>
      <c r="I127" s="52"/>
    </row>
    <row r="128" spans="1:15" ht="15" thickBot="1" x14ac:dyDescent="0.25">
      <c r="A128" t="s">
        <v>30</v>
      </c>
      <c r="B128">
        <v>1</v>
      </c>
      <c r="C128" t="s">
        <v>73</v>
      </c>
    </row>
    <row r="129" spans="1:15" x14ac:dyDescent="0.2">
      <c r="A129" s="44"/>
      <c r="B129" s="45" t="s">
        <v>5</v>
      </c>
      <c r="C129" s="45" t="s">
        <v>34</v>
      </c>
      <c r="D129" s="45" t="s">
        <v>35</v>
      </c>
      <c r="E129" s="45" t="s">
        <v>36</v>
      </c>
      <c r="F129" s="45" t="s">
        <v>37</v>
      </c>
      <c r="G129" s="45" t="s">
        <v>38</v>
      </c>
      <c r="H129" s="45" t="s">
        <v>39</v>
      </c>
      <c r="I129" s="45" t="s">
        <v>40</v>
      </c>
      <c r="J129" s="45" t="s">
        <v>41</v>
      </c>
      <c r="K129" s="45" t="s">
        <v>42</v>
      </c>
      <c r="L129" s="45" t="s">
        <v>43</v>
      </c>
      <c r="M129" s="45" t="s">
        <v>44</v>
      </c>
      <c r="N129" s="45" t="s">
        <v>45</v>
      </c>
      <c r="O129" s="46" t="s">
        <v>11</v>
      </c>
    </row>
    <row r="130" spans="1:15" ht="15" thickBot="1" x14ac:dyDescent="0.25">
      <c r="A130" s="48"/>
      <c r="B130" s="84">
        <f t="shared" ref="B130:N130" si="16">(B39*$B$124/$H$124)+(B76*$D$124/$H$124)+(B115*$F$124/$H$124)</f>
        <v>54.416666666666671</v>
      </c>
      <c r="C130" s="84">
        <f t="shared" si="16"/>
        <v>3.3333333333333335</v>
      </c>
      <c r="D130" s="84">
        <f t="shared" si="16"/>
        <v>0</v>
      </c>
      <c r="E130" s="84">
        <f t="shared" si="16"/>
        <v>2.0833333333333335</v>
      </c>
      <c r="F130" s="84">
        <f t="shared" si="16"/>
        <v>4.9166666666666661</v>
      </c>
      <c r="G130" s="84">
        <f t="shared" si="16"/>
        <v>7</v>
      </c>
      <c r="H130" s="84">
        <f t="shared" si="16"/>
        <v>6.5</v>
      </c>
      <c r="I130" s="84">
        <f t="shared" si="16"/>
        <v>12.75</v>
      </c>
      <c r="J130" s="84">
        <f t="shared" si="16"/>
        <v>5.416666666666667</v>
      </c>
      <c r="K130" s="84">
        <f t="shared" si="16"/>
        <v>7.5833333333333339</v>
      </c>
      <c r="L130" s="84">
        <f t="shared" si="16"/>
        <v>2.916666666666667</v>
      </c>
      <c r="M130" s="84">
        <f t="shared" si="16"/>
        <v>1.8333333333333333</v>
      </c>
      <c r="N130" s="84">
        <f t="shared" si="16"/>
        <v>0</v>
      </c>
      <c r="O130" s="85">
        <f>SUM(C130:N130)</f>
        <v>54.333333333333329</v>
      </c>
    </row>
  </sheetData>
  <sheetProtection password="DC5E" sheet="1" objects="1" scenarios="1" selectLockedCells="1"/>
  <pageMargins left="0.23622047244094491" right="0.23622047244094491" top="0.55118110236220474" bottom="0.74803149606299213" header="0.31496062992125984" footer="0.31496062992125984"/>
  <pageSetup paperSize="9" scale="9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3315" r:id="rId4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9525</xdr:rowOff>
              </from>
              <to>
                <xdr:col>1</xdr:col>
                <xdr:colOff>0</xdr:colOff>
                <xdr:row>3</xdr:row>
                <xdr:rowOff>9525</xdr:rowOff>
              </to>
            </anchor>
          </objectPr>
        </oleObject>
      </mc:Choice>
      <mc:Fallback>
        <oleObject progId="Word.Picture.8" shapeId="13315" r:id="rId4"/>
      </mc:Fallback>
    </mc:AlternateContent>
    <mc:AlternateContent xmlns:mc="http://schemas.openxmlformats.org/markup-compatibility/2006">
      <mc:Choice Requires="x14">
        <oleObject progId="Word.Picture.8" shapeId="13316" r:id="rId6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114300</xdr:rowOff>
              </from>
              <to>
                <xdr:col>3</xdr:col>
                <xdr:colOff>9525</xdr:colOff>
                <xdr:row>3</xdr:row>
                <xdr:rowOff>171450</xdr:rowOff>
              </to>
            </anchor>
          </objectPr>
        </oleObject>
      </mc:Choice>
      <mc:Fallback>
        <oleObject progId="Word.Picture.8" shapeId="13316" r:id="rId6"/>
      </mc:Fallback>
    </mc:AlternateContent>
    <mc:AlternateContent xmlns:mc="http://schemas.openxmlformats.org/markup-compatibility/2006">
      <mc:Choice Requires="x14">
        <oleObject progId="Word.Picture.8" shapeId="13319" r:id="rId7">
          <objectPr defaultSize="0" autoPict="0" r:id="rId5">
            <anchor moveWithCells="1" sizeWithCells="1">
              <from>
                <xdr:col>1</xdr:col>
                <xdr:colOff>0</xdr:colOff>
                <xdr:row>40</xdr:row>
                <xdr:rowOff>123825</xdr:rowOff>
              </from>
              <to>
                <xdr:col>1</xdr:col>
                <xdr:colOff>0</xdr:colOff>
                <xdr:row>42</xdr:row>
                <xdr:rowOff>114300</xdr:rowOff>
              </to>
            </anchor>
          </objectPr>
        </oleObject>
      </mc:Choice>
      <mc:Fallback>
        <oleObject progId="Word.Picture.8" shapeId="13319" r:id="rId7"/>
      </mc:Fallback>
    </mc:AlternateContent>
    <mc:AlternateContent xmlns:mc="http://schemas.openxmlformats.org/markup-compatibility/2006">
      <mc:Choice Requires="x14">
        <oleObject progId="Word.Picture.8" shapeId="13320" r:id="rId8">
          <objectPr defaultSize="0" autoPict="0" r:id="rId5">
            <anchor moveWithCells="1" sizeWithCells="1">
              <from>
                <xdr:col>1</xdr:col>
                <xdr:colOff>114300</xdr:colOff>
                <xdr:row>40</xdr:row>
                <xdr:rowOff>57150</xdr:rowOff>
              </from>
              <to>
                <xdr:col>3</xdr:col>
                <xdr:colOff>9525</xdr:colOff>
                <xdr:row>43</xdr:row>
                <xdr:rowOff>104775</xdr:rowOff>
              </to>
            </anchor>
          </objectPr>
        </oleObject>
      </mc:Choice>
      <mc:Fallback>
        <oleObject progId="Word.Picture.8" shapeId="13320" r:id="rId8"/>
      </mc:Fallback>
    </mc:AlternateContent>
    <mc:AlternateContent xmlns:mc="http://schemas.openxmlformats.org/markup-compatibility/2006">
      <mc:Choice Requires="x14">
        <oleObject progId="Word.Picture.8" shapeId="13321" r:id="rId9">
          <objectPr defaultSize="0" autoPict="0" r:id="rId5">
            <anchor moveWithCells="1" sizeWithCells="1">
              <from>
                <xdr:col>1</xdr:col>
                <xdr:colOff>0</xdr:colOff>
                <xdr:row>77</xdr:row>
                <xdr:rowOff>76200</xdr:rowOff>
              </from>
              <to>
                <xdr:col>1</xdr:col>
                <xdr:colOff>0</xdr:colOff>
                <xdr:row>79</xdr:row>
                <xdr:rowOff>95250</xdr:rowOff>
              </to>
            </anchor>
          </objectPr>
        </oleObject>
      </mc:Choice>
      <mc:Fallback>
        <oleObject progId="Word.Picture.8" shapeId="13321" r:id="rId9"/>
      </mc:Fallback>
    </mc:AlternateContent>
    <mc:AlternateContent xmlns:mc="http://schemas.openxmlformats.org/markup-compatibility/2006">
      <mc:Choice Requires="x14">
        <oleObject progId="Word.Picture.8" shapeId="13322" r:id="rId10">
          <objectPr defaultSize="0" autoPict="0" r:id="rId5">
            <anchor moveWithCells="1" sizeWithCells="1">
              <from>
                <xdr:col>1</xdr:col>
                <xdr:colOff>114300</xdr:colOff>
                <xdr:row>77</xdr:row>
                <xdr:rowOff>0</xdr:rowOff>
              </from>
              <to>
                <xdr:col>3</xdr:col>
                <xdr:colOff>9525</xdr:colOff>
                <xdr:row>80</xdr:row>
                <xdr:rowOff>57150</xdr:rowOff>
              </to>
            </anchor>
          </objectPr>
        </oleObject>
      </mc:Choice>
      <mc:Fallback>
        <oleObject progId="Word.Picture.8" shapeId="13322" r:id="rId10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8">
    <tabColor rgb="FF92D050"/>
  </sheetPr>
  <dimension ref="A2:J157"/>
  <sheetViews>
    <sheetView zoomScale="90" zoomScaleNormal="90" workbookViewId="0">
      <selection activeCell="A14" sqref="A14"/>
    </sheetView>
  </sheetViews>
  <sheetFormatPr baseColWidth="10" defaultRowHeight="14.25" x14ac:dyDescent="0.2"/>
  <cols>
    <col min="1" max="1" width="4.125" customWidth="1"/>
    <col min="2" max="2" width="7.125" customWidth="1"/>
    <col min="3" max="3" width="16.75" customWidth="1"/>
    <col min="4" max="6" width="7.75" customWidth="1"/>
    <col min="7" max="7" width="6.875" customWidth="1"/>
    <col min="8" max="9" width="10.875" customWidth="1"/>
    <col min="10" max="10" width="9.75" customWidth="1"/>
    <col min="11" max="16" width="7.75" customWidth="1"/>
    <col min="17" max="17" width="6.25" customWidth="1"/>
    <col min="18" max="18" width="8.75" customWidth="1"/>
    <col min="19" max="19" width="10.375" customWidth="1"/>
  </cols>
  <sheetData>
    <row r="2" spans="1:10" ht="15.75" x14ac:dyDescent="0.3">
      <c r="A2" s="472" t="s">
        <v>178</v>
      </c>
    </row>
    <row r="3" spans="1:10" ht="15.75" x14ac:dyDescent="0.3">
      <c r="A3" s="472" t="s">
        <v>217</v>
      </c>
    </row>
    <row r="5" spans="1:10" ht="18" x14ac:dyDescent="0.25">
      <c r="A5" s="1" t="s">
        <v>54</v>
      </c>
    </row>
    <row r="6" spans="1:10" ht="15" x14ac:dyDescent="0.25">
      <c r="A6" s="2" t="s">
        <v>0</v>
      </c>
      <c r="D6" s="11" t="str">
        <f>'Deckungsbeitrag Arbeitsgänge'!B6</f>
        <v>Schwarze Johannisbeere, Ben Alder, Industrieware</v>
      </c>
      <c r="E6" s="11"/>
      <c r="F6" s="11"/>
      <c r="G6" s="11"/>
      <c r="H6" s="100"/>
      <c r="I6" s="99"/>
      <c r="J6" s="99"/>
    </row>
    <row r="7" spans="1:10" ht="15" x14ac:dyDescent="0.25">
      <c r="D7" s="11">
        <f>'Deckungsbeitrag Arbeitsgänge'!B7</f>
        <v>0</v>
      </c>
      <c r="E7" s="11"/>
      <c r="F7" s="11"/>
      <c r="G7" s="13"/>
    </row>
    <row r="8" spans="1:10" ht="15" x14ac:dyDescent="0.25">
      <c r="C8" s="99"/>
      <c r="D8" s="55"/>
      <c r="E8" s="11"/>
      <c r="F8" s="13"/>
      <c r="G8" s="13"/>
      <c r="H8" s="99"/>
      <c r="I8" s="99"/>
    </row>
    <row r="9" spans="1:10" ht="15" x14ac:dyDescent="0.25">
      <c r="A9" t="s">
        <v>1</v>
      </c>
      <c r="B9" s="100"/>
      <c r="D9" s="11" t="str">
        <f>'Deckungsbeitrag Arbeitsgänge'!K6</f>
        <v>Ertragsphase</v>
      </c>
      <c r="E9" s="13"/>
      <c r="F9" s="99"/>
      <c r="G9" s="99"/>
      <c r="H9" s="99"/>
    </row>
    <row r="10" spans="1:10" ht="15" thickBot="1" x14ac:dyDescent="0.25">
      <c r="A10" t="s">
        <v>30</v>
      </c>
      <c r="C10">
        <v>1</v>
      </c>
      <c r="D10" t="s">
        <v>73</v>
      </c>
      <c r="H10" t="s">
        <v>3</v>
      </c>
    </row>
    <row r="11" spans="1:10" x14ac:dyDescent="0.2">
      <c r="A11" s="91" t="s">
        <v>55</v>
      </c>
      <c r="B11" s="92" t="s">
        <v>56</v>
      </c>
      <c r="C11" s="92" t="s">
        <v>57</v>
      </c>
      <c r="D11" s="92" t="s">
        <v>58</v>
      </c>
      <c r="E11" s="92" t="s">
        <v>59</v>
      </c>
      <c r="F11" s="92" t="s">
        <v>60</v>
      </c>
      <c r="G11" s="92" t="s">
        <v>61</v>
      </c>
      <c r="H11" s="92" t="s">
        <v>62</v>
      </c>
      <c r="I11" s="93" t="s">
        <v>63</v>
      </c>
      <c r="J11" s="99"/>
    </row>
    <row r="12" spans="1:10" x14ac:dyDescent="0.2">
      <c r="A12" s="94" t="s">
        <v>64</v>
      </c>
      <c r="B12" s="95"/>
      <c r="C12" s="95"/>
      <c r="D12" s="95" t="s">
        <v>65</v>
      </c>
      <c r="E12" s="95" t="s">
        <v>66</v>
      </c>
      <c r="F12" s="95" t="s">
        <v>65</v>
      </c>
      <c r="G12" s="95" t="s">
        <v>47</v>
      </c>
      <c r="H12" s="95" t="s">
        <v>67</v>
      </c>
      <c r="I12" s="96" t="s">
        <v>68</v>
      </c>
      <c r="J12" s="99"/>
    </row>
    <row r="13" spans="1:10" x14ac:dyDescent="0.2">
      <c r="A13" s="94"/>
      <c r="B13" s="95" t="s">
        <v>103</v>
      </c>
      <c r="C13" s="95"/>
      <c r="D13" s="95" t="s">
        <v>69</v>
      </c>
      <c r="E13" s="95" t="s">
        <v>70</v>
      </c>
      <c r="F13" s="95" t="s">
        <v>69</v>
      </c>
      <c r="G13" s="95" t="s">
        <v>71</v>
      </c>
      <c r="H13" s="95" t="s">
        <v>72</v>
      </c>
      <c r="I13" s="96"/>
      <c r="J13" s="99"/>
    </row>
    <row r="14" spans="1:10" x14ac:dyDescent="0.2">
      <c r="A14" s="431">
        <v>1</v>
      </c>
      <c r="B14" s="291" t="s">
        <v>37</v>
      </c>
      <c r="C14" s="291" t="s">
        <v>232</v>
      </c>
      <c r="D14" s="432">
        <v>2</v>
      </c>
      <c r="E14" s="433">
        <v>1</v>
      </c>
      <c r="F14" s="101">
        <f>D14*E14</f>
        <v>2</v>
      </c>
      <c r="G14" s="441"/>
      <c r="H14" s="444">
        <v>7.25</v>
      </c>
      <c r="I14" s="132">
        <f t="shared" ref="I14:I43" si="0">F14*H14</f>
        <v>14.5</v>
      </c>
      <c r="J14" s="99"/>
    </row>
    <row r="15" spans="1:10" x14ac:dyDescent="0.2">
      <c r="A15" s="434"/>
      <c r="B15" s="277"/>
      <c r="C15" s="277" t="s">
        <v>241</v>
      </c>
      <c r="D15" s="435">
        <v>3</v>
      </c>
      <c r="E15" s="436">
        <v>1</v>
      </c>
      <c r="F15" s="102">
        <f t="shared" ref="F15:F49" si="1">D15*E15</f>
        <v>3</v>
      </c>
      <c r="G15" s="442"/>
      <c r="H15" s="445">
        <v>48.6</v>
      </c>
      <c r="I15" s="133">
        <f t="shared" si="0"/>
        <v>145.80000000000001</v>
      </c>
      <c r="J15" s="99"/>
    </row>
    <row r="16" spans="1:10" x14ac:dyDescent="0.2">
      <c r="A16" s="491"/>
      <c r="B16" s="492"/>
      <c r="C16" s="492" t="s">
        <v>244</v>
      </c>
      <c r="D16" s="493">
        <v>5</v>
      </c>
      <c r="E16" s="494">
        <v>1</v>
      </c>
      <c r="F16" s="495">
        <f t="shared" si="1"/>
        <v>5</v>
      </c>
      <c r="G16" s="496"/>
      <c r="H16" s="497">
        <v>1.45</v>
      </c>
      <c r="I16" s="134">
        <f t="shared" si="0"/>
        <v>7.25</v>
      </c>
      <c r="J16" s="99"/>
    </row>
    <row r="17" spans="1:10" x14ac:dyDescent="0.2">
      <c r="A17" s="434">
        <v>2</v>
      </c>
      <c r="B17" s="277" t="s">
        <v>38</v>
      </c>
      <c r="C17" s="277" t="s">
        <v>245</v>
      </c>
      <c r="D17" s="435">
        <v>1</v>
      </c>
      <c r="E17" s="436">
        <v>1</v>
      </c>
      <c r="F17" s="102">
        <f t="shared" si="1"/>
        <v>1</v>
      </c>
      <c r="G17" s="442"/>
      <c r="H17" s="445">
        <v>49.36</v>
      </c>
      <c r="I17" s="133">
        <f t="shared" si="0"/>
        <v>49.36</v>
      </c>
      <c r="J17" s="99"/>
    </row>
    <row r="18" spans="1:10" x14ac:dyDescent="0.2">
      <c r="A18" s="434"/>
      <c r="B18" s="277"/>
      <c r="C18" s="277" t="s">
        <v>233</v>
      </c>
      <c r="D18" s="435">
        <v>10</v>
      </c>
      <c r="E18" s="436">
        <v>1</v>
      </c>
      <c r="F18" s="102">
        <f t="shared" si="1"/>
        <v>10</v>
      </c>
      <c r="G18" s="442"/>
      <c r="H18" s="445">
        <v>0.36</v>
      </c>
      <c r="I18" s="133">
        <f t="shared" si="0"/>
        <v>3.5999999999999996</v>
      </c>
      <c r="J18" s="99"/>
    </row>
    <row r="19" spans="1:10" x14ac:dyDescent="0.2">
      <c r="A19" s="491"/>
      <c r="B19" s="492"/>
      <c r="C19" s="492" t="s">
        <v>244</v>
      </c>
      <c r="D19" s="493">
        <v>5</v>
      </c>
      <c r="E19" s="494">
        <v>1</v>
      </c>
      <c r="F19" s="495">
        <f t="shared" si="1"/>
        <v>5</v>
      </c>
      <c r="G19" s="496"/>
      <c r="H19" s="497">
        <v>1.45</v>
      </c>
      <c r="I19" s="134">
        <f t="shared" si="0"/>
        <v>7.25</v>
      </c>
      <c r="J19" s="99"/>
    </row>
    <row r="20" spans="1:10" x14ac:dyDescent="0.2">
      <c r="A20" s="434">
        <v>3</v>
      </c>
      <c r="B20" s="277" t="s">
        <v>39</v>
      </c>
      <c r="C20" s="277" t="s">
        <v>242</v>
      </c>
      <c r="D20" s="435">
        <v>0.2</v>
      </c>
      <c r="E20" s="436">
        <v>1</v>
      </c>
      <c r="F20" s="102">
        <f t="shared" si="1"/>
        <v>0.2</v>
      </c>
      <c r="G20" s="442"/>
      <c r="H20" s="445">
        <v>144.9</v>
      </c>
      <c r="I20" s="133">
        <f t="shared" si="0"/>
        <v>28.980000000000004</v>
      </c>
      <c r="J20" s="99"/>
    </row>
    <row r="21" spans="1:10" x14ac:dyDescent="0.2">
      <c r="A21" s="491"/>
      <c r="B21" s="492"/>
      <c r="C21" s="492" t="s">
        <v>246</v>
      </c>
      <c r="D21" s="493">
        <v>3</v>
      </c>
      <c r="E21" s="494">
        <v>1</v>
      </c>
      <c r="F21" s="495">
        <f t="shared" si="1"/>
        <v>3</v>
      </c>
      <c r="G21" s="496"/>
      <c r="H21" s="497">
        <v>1.4</v>
      </c>
      <c r="I21" s="134">
        <f t="shared" si="0"/>
        <v>4.1999999999999993</v>
      </c>
      <c r="J21" s="99"/>
    </row>
    <row r="22" spans="1:10" x14ac:dyDescent="0.2">
      <c r="A22" s="434">
        <v>4</v>
      </c>
      <c r="B22" s="277" t="s">
        <v>39</v>
      </c>
      <c r="C22" s="277" t="s">
        <v>235</v>
      </c>
      <c r="D22" s="435">
        <v>0.8</v>
      </c>
      <c r="E22" s="436">
        <v>1</v>
      </c>
      <c r="F22" s="102">
        <f t="shared" si="1"/>
        <v>0.8</v>
      </c>
      <c r="G22" s="442"/>
      <c r="H22" s="445">
        <v>19.75</v>
      </c>
      <c r="I22" s="133">
        <f t="shared" si="0"/>
        <v>15.8</v>
      </c>
      <c r="J22" s="99"/>
    </row>
    <row r="23" spans="1:10" x14ac:dyDescent="0.2">
      <c r="A23" s="491"/>
      <c r="B23" s="492"/>
      <c r="C23" s="492" t="s">
        <v>233</v>
      </c>
      <c r="D23" s="493">
        <v>10</v>
      </c>
      <c r="E23" s="494">
        <v>1</v>
      </c>
      <c r="F23" s="495">
        <f t="shared" si="1"/>
        <v>10</v>
      </c>
      <c r="G23" s="496"/>
      <c r="H23" s="497">
        <v>0.36</v>
      </c>
      <c r="I23" s="134">
        <f t="shared" si="0"/>
        <v>3.5999999999999996</v>
      </c>
      <c r="J23" s="99"/>
    </row>
    <row r="24" spans="1:10" x14ac:dyDescent="0.2">
      <c r="A24" s="434">
        <v>5</v>
      </c>
      <c r="B24" s="277" t="s">
        <v>40</v>
      </c>
      <c r="C24" s="277" t="s">
        <v>232</v>
      </c>
      <c r="D24" s="435">
        <v>2</v>
      </c>
      <c r="E24" s="436">
        <v>1</v>
      </c>
      <c r="F24" s="102">
        <f t="shared" si="1"/>
        <v>2</v>
      </c>
      <c r="G24" s="442"/>
      <c r="H24" s="445">
        <v>7.25</v>
      </c>
      <c r="I24" s="133">
        <f t="shared" si="0"/>
        <v>14.5</v>
      </c>
      <c r="J24" s="99"/>
    </row>
    <row r="25" spans="1:10" x14ac:dyDescent="0.2">
      <c r="A25" s="434"/>
      <c r="B25" s="277"/>
      <c r="C25" s="277" t="s">
        <v>233</v>
      </c>
      <c r="D25" s="435">
        <v>10</v>
      </c>
      <c r="E25" s="436">
        <v>1</v>
      </c>
      <c r="F25" s="102">
        <f t="shared" si="1"/>
        <v>10</v>
      </c>
      <c r="G25" s="442"/>
      <c r="H25" s="445">
        <v>0.36</v>
      </c>
      <c r="I25" s="133">
        <f t="shared" si="0"/>
        <v>3.5999999999999996</v>
      </c>
      <c r="J25" s="99"/>
    </row>
    <row r="26" spans="1:10" x14ac:dyDescent="0.2">
      <c r="A26" s="491"/>
      <c r="B26" s="492"/>
      <c r="C26" s="492" t="s">
        <v>246</v>
      </c>
      <c r="D26" s="493">
        <v>3</v>
      </c>
      <c r="E26" s="494">
        <v>1</v>
      </c>
      <c r="F26" s="495">
        <f t="shared" si="1"/>
        <v>3</v>
      </c>
      <c r="G26" s="496"/>
      <c r="H26" s="497">
        <v>1.4</v>
      </c>
      <c r="I26" s="134">
        <f t="shared" si="0"/>
        <v>4.1999999999999993</v>
      </c>
      <c r="J26" s="99"/>
    </row>
    <row r="27" spans="1:10" x14ac:dyDescent="0.2">
      <c r="A27" s="434">
        <v>6</v>
      </c>
      <c r="B27" s="277" t="s">
        <v>234</v>
      </c>
      <c r="C27" s="277" t="s">
        <v>235</v>
      </c>
      <c r="D27" s="435">
        <v>0.8</v>
      </c>
      <c r="E27" s="436">
        <v>1</v>
      </c>
      <c r="F27" s="102">
        <f t="shared" si="1"/>
        <v>0.8</v>
      </c>
      <c r="G27" s="442"/>
      <c r="H27" s="445">
        <v>19.75</v>
      </c>
      <c r="I27" s="133">
        <f t="shared" si="0"/>
        <v>15.8</v>
      </c>
      <c r="J27" s="99"/>
    </row>
    <row r="28" spans="1:10" x14ac:dyDescent="0.2">
      <c r="A28" s="434"/>
      <c r="B28" s="277"/>
      <c r="C28" s="277" t="s">
        <v>233</v>
      </c>
      <c r="D28" s="435">
        <v>10</v>
      </c>
      <c r="E28" s="436">
        <v>1</v>
      </c>
      <c r="F28" s="102">
        <f t="shared" si="1"/>
        <v>10</v>
      </c>
      <c r="G28" s="442"/>
      <c r="H28" s="445">
        <v>0.36</v>
      </c>
      <c r="I28" s="133">
        <f t="shared" si="0"/>
        <v>3.5999999999999996</v>
      </c>
      <c r="J28" s="99"/>
    </row>
    <row r="29" spans="1:10" x14ac:dyDescent="0.2">
      <c r="A29" s="491"/>
      <c r="B29" s="492"/>
      <c r="C29" s="492" t="s">
        <v>246</v>
      </c>
      <c r="D29" s="493">
        <v>3</v>
      </c>
      <c r="E29" s="494">
        <v>1</v>
      </c>
      <c r="F29" s="495">
        <f t="shared" si="1"/>
        <v>3</v>
      </c>
      <c r="G29" s="496"/>
      <c r="H29" s="497">
        <v>1.4</v>
      </c>
      <c r="I29" s="134">
        <f t="shared" si="0"/>
        <v>4.1999999999999993</v>
      </c>
      <c r="J29" s="99"/>
    </row>
    <row r="30" spans="1:10" x14ac:dyDescent="0.2">
      <c r="A30" s="434">
        <v>7</v>
      </c>
      <c r="B30" s="277" t="s">
        <v>42</v>
      </c>
      <c r="C30" s="277" t="s">
        <v>232</v>
      </c>
      <c r="D30" s="435">
        <v>2</v>
      </c>
      <c r="E30" s="436">
        <v>1</v>
      </c>
      <c r="F30" s="102">
        <f t="shared" si="1"/>
        <v>2</v>
      </c>
      <c r="G30" s="442"/>
      <c r="H30" s="445">
        <v>7.25</v>
      </c>
      <c r="I30" s="133">
        <f t="shared" si="0"/>
        <v>14.5</v>
      </c>
      <c r="J30" s="99"/>
    </row>
    <row r="31" spans="1:10" x14ac:dyDescent="0.2">
      <c r="A31" s="491"/>
      <c r="B31" s="492"/>
      <c r="C31" s="492" t="s">
        <v>233</v>
      </c>
      <c r="D31" s="493">
        <v>10</v>
      </c>
      <c r="E31" s="494">
        <v>1</v>
      </c>
      <c r="F31" s="495">
        <f t="shared" si="1"/>
        <v>10</v>
      </c>
      <c r="G31" s="496"/>
      <c r="H31" s="497">
        <v>0.36</v>
      </c>
      <c r="I31" s="134">
        <f t="shared" si="0"/>
        <v>3.5999999999999996</v>
      </c>
      <c r="J31" s="99"/>
    </row>
    <row r="32" spans="1:10" x14ac:dyDescent="0.2">
      <c r="A32" s="434">
        <v>1</v>
      </c>
      <c r="B32" s="277" t="s">
        <v>36</v>
      </c>
      <c r="C32" s="277" t="s">
        <v>247</v>
      </c>
      <c r="D32" s="435">
        <v>3.75</v>
      </c>
      <c r="E32" s="436">
        <v>1</v>
      </c>
      <c r="F32" s="102">
        <f t="shared" si="1"/>
        <v>3.75</v>
      </c>
      <c r="G32" s="442"/>
      <c r="H32" s="445">
        <v>10.199999999999999</v>
      </c>
      <c r="I32" s="133">
        <f t="shared" si="0"/>
        <v>38.25</v>
      </c>
      <c r="J32" s="99"/>
    </row>
    <row r="33" spans="1:10" x14ac:dyDescent="0.2">
      <c r="A33" s="434"/>
      <c r="B33" s="277"/>
      <c r="C33" s="277" t="s">
        <v>238</v>
      </c>
      <c r="D33" s="435">
        <v>0.5</v>
      </c>
      <c r="E33" s="436">
        <v>1</v>
      </c>
      <c r="F33" s="102">
        <f t="shared" si="1"/>
        <v>0.5</v>
      </c>
      <c r="G33" s="442"/>
      <c r="H33" s="445">
        <v>188.2</v>
      </c>
      <c r="I33" s="133">
        <f t="shared" si="0"/>
        <v>94.1</v>
      </c>
      <c r="J33" s="99"/>
    </row>
    <row r="34" spans="1:10" x14ac:dyDescent="0.2">
      <c r="A34" s="491"/>
      <c r="B34" s="492"/>
      <c r="C34" s="492" t="s">
        <v>243</v>
      </c>
      <c r="D34" s="493">
        <v>3.5</v>
      </c>
      <c r="E34" s="494">
        <v>1</v>
      </c>
      <c r="F34" s="495">
        <f t="shared" si="1"/>
        <v>3.5</v>
      </c>
      <c r="G34" s="496"/>
      <c r="H34" s="497">
        <v>16.350000000000001</v>
      </c>
      <c r="I34" s="134">
        <f t="shared" si="0"/>
        <v>57.225000000000009</v>
      </c>
      <c r="J34" s="99"/>
    </row>
    <row r="35" spans="1:10" x14ac:dyDescent="0.2">
      <c r="A35" s="434">
        <v>2</v>
      </c>
      <c r="B35" s="277" t="s">
        <v>234</v>
      </c>
      <c r="C35" s="277" t="s">
        <v>240</v>
      </c>
      <c r="D35" s="435">
        <v>0.8</v>
      </c>
      <c r="E35" s="436">
        <v>1</v>
      </c>
      <c r="F35" s="102">
        <f t="shared" si="1"/>
        <v>0.8</v>
      </c>
      <c r="G35" s="442"/>
      <c r="H35" s="445">
        <v>56.75</v>
      </c>
      <c r="I35" s="133">
        <f t="shared" si="0"/>
        <v>45.400000000000006</v>
      </c>
      <c r="J35" s="99"/>
    </row>
    <row r="36" spans="1:10" x14ac:dyDescent="0.2">
      <c r="A36" s="491"/>
      <c r="B36" s="492"/>
      <c r="C36" s="492" t="s">
        <v>237</v>
      </c>
      <c r="D36" s="493">
        <v>2</v>
      </c>
      <c r="E36" s="494">
        <v>1</v>
      </c>
      <c r="F36" s="495">
        <f t="shared" si="1"/>
        <v>2</v>
      </c>
      <c r="G36" s="496"/>
      <c r="H36" s="497"/>
      <c r="I36" s="134">
        <f t="shared" si="0"/>
        <v>0</v>
      </c>
      <c r="J36" s="99"/>
    </row>
    <row r="37" spans="1:10" x14ac:dyDescent="0.2">
      <c r="A37" s="434"/>
      <c r="B37" s="277"/>
      <c r="C37" s="277"/>
      <c r="D37" s="435"/>
      <c r="E37" s="436"/>
      <c r="F37" s="102">
        <f t="shared" si="1"/>
        <v>0</v>
      </c>
      <c r="G37" s="442"/>
      <c r="H37" s="445"/>
      <c r="I37" s="133">
        <f t="shared" si="0"/>
        <v>0</v>
      </c>
      <c r="J37" s="99"/>
    </row>
    <row r="38" spans="1:10" x14ac:dyDescent="0.2">
      <c r="A38" s="434"/>
      <c r="B38" s="277"/>
      <c r="C38" s="277"/>
      <c r="D38" s="435"/>
      <c r="E38" s="436"/>
      <c r="F38" s="102">
        <f t="shared" si="1"/>
        <v>0</v>
      </c>
      <c r="G38" s="442"/>
      <c r="H38" s="445"/>
      <c r="I38" s="133">
        <f t="shared" si="0"/>
        <v>0</v>
      </c>
      <c r="J38" s="99"/>
    </row>
    <row r="39" spans="1:10" x14ac:dyDescent="0.2">
      <c r="A39" s="434"/>
      <c r="B39" s="277"/>
      <c r="C39" s="277"/>
      <c r="D39" s="435"/>
      <c r="E39" s="436"/>
      <c r="F39" s="102">
        <f t="shared" si="1"/>
        <v>0</v>
      </c>
      <c r="G39" s="442"/>
      <c r="H39" s="445"/>
      <c r="I39" s="133">
        <f t="shared" si="0"/>
        <v>0</v>
      </c>
      <c r="J39" s="99"/>
    </row>
    <row r="40" spans="1:10" x14ac:dyDescent="0.2">
      <c r="A40" s="434"/>
      <c r="B40" s="277"/>
      <c r="C40" s="277"/>
      <c r="D40" s="435"/>
      <c r="E40" s="436"/>
      <c r="F40" s="102">
        <f t="shared" si="1"/>
        <v>0</v>
      </c>
      <c r="G40" s="442"/>
      <c r="H40" s="445"/>
      <c r="I40" s="133">
        <f t="shared" si="0"/>
        <v>0</v>
      </c>
      <c r="J40" s="99"/>
    </row>
    <row r="41" spans="1:10" x14ac:dyDescent="0.2">
      <c r="A41" s="434"/>
      <c r="B41" s="277"/>
      <c r="C41" s="277"/>
      <c r="D41" s="435"/>
      <c r="E41" s="436"/>
      <c r="F41" s="102">
        <f t="shared" si="1"/>
        <v>0</v>
      </c>
      <c r="G41" s="442"/>
      <c r="H41" s="445"/>
      <c r="I41" s="133">
        <f t="shared" si="0"/>
        <v>0</v>
      </c>
      <c r="J41" s="99"/>
    </row>
    <row r="42" spans="1:10" x14ac:dyDescent="0.2">
      <c r="A42" s="434"/>
      <c r="B42" s="277"/>
      <c r="C42" s="277"/>
      <c r="D42" s="435"/>
      <c r="E42" s="436"/>
      <c r="F42" s="102">
        <f t="shared" si="1"/>
        <v>0</v>
      </c>
      <c r="G42" s="442"/>
      <c r="H42" s="445"/>
      <c r="I42" s="133">
        <f t="shared" si="0"/>
        <v>0</v>
      </c>
      <c r="J42" s="99"/>
    </row>
    <row r="43" spans="1:10" x14ac:dyDescent="0.2">
      <c r="A43" s="434"/>
      <c r="B43" s="277"/>
      <c r="C43" s="277"/>
      <c r="D43" s="435"/>
      <c r="E43" s="436"/>
      <c r="F43" s="102">
        <f t="shared" si="1"/>
        <v>0</v>
      </c>
      <c r="G43" s="442"/>
      <c r="H43" s="445"/>
      <c r="I43" s="133">
        <f t="shared" si="0"/>
        <v>0</v>
      </c>
      <c r="J43" s="99"/>
    </row>
    <row r="44" spans="1:10" x14ac:dyDescent="0.2">
      <c r="A44" s="434"/>
      <c r="B44" s="277"/>
      <c r="C44" s="277"/>
      <c r="D44" s="435"/>
      <c r="E44" s="436"/>
      <c r="F44" s="102">
        <f t="shared" si="1"/>
        <v>0</v>
      </c>
      <c r="G44" s="442"/>
      <c r="H44" s="445"/>
      <c r="I44" s="133">
        <f t="shared" ref="I44:I49" si="2">F44*H44</f>
        <v>0</v>
      </c>
      <c r="J44" s="99"/>
    </row>
    <row r="45" spans="1:10" x14ac:dyDescent="0.2">
      <c r="A45" s="434"/>
      <c r="B45" s="277"/>
      <c r="C45" s="277"/>
      <c r="D45" s="435"/>
      <c r="E45" s="436"/>
      <c r="F45" s="102">
        <f t="shared" si="1"/>
        <v>0</v>
      </c>
      <c r="G45" s="442"/>
      <c r="H45" s="445"/>
      <c r="I45" s="133">
        <f t="shared" si="2"/>
        <v>0</v>
      </c>
      <c r="J45" s="99"/>
    </row>
    <row r="46" spans="1:10" x14ac:dyDescent="0.2">
      <c r="A46" s="434"/>
      <c r="B46" s="277"/>
      <c r="C46" s="277"/>
      <c r="D46" s="435"/>
      <c r="E46" s="436"/>
      <c r="F46" s="102">
        <f t="shared" si="1"/>
        <v>0</v>
      </c>
      <c r="G46" s="442"/>
      <c r="H46" s="445"/>
      <c r="I46" s="133">
        <f t="shared" si="2"/>
        <v>0</v>
      </c>
      <c r="J46" s="99"/>
    </row>
    <row r="47" spans="1:10" x14ac:dyDescent="0.2">
      <c r="A47" s="434"/>
      <c r="B47" s="277"/>
      <c r="C47" s="277"/>
      <c r="D47" s="435"/>
      <c r="E47" s="436"/>
      <c r="F47" s="102">
        <f t="shared" si="1"/>
        <v>0</v>
      </c>
      <c r="G47" s="442"/>
      <c r="H47" s="445"/>
      <c r="I47" s="133">
        <f t="shared" si="2"/>
        <v>0</v>
      </c>
      <c r="J47" s="99"/>
    </row>
    <row r="48" spans="1:10" x14ac:dyDescent="0.2">
      <c r="A48" s="434"/>
      <c r="B48" s="277"/>
      <c r="C48" s="277"/>
      <c r="D48" s="435"/>
      <c r="E48" s="436"/>
      <c r="F48" s="102">
        <f t="shared" si="1"/>
        <v>0</v>
      </c>
      <c r="G48" s="442"/>
      <c r="H48" s="445"/>
      <c r="I48" s="133">
        <f t="shared" si="2"/>
        <v>0</v>
      </c>
      <c r="J48" s="99"/>
    </row>
    <row r="49" spans="1:10" ht="15" thickBot="1" x14ac:dyDescent="0.25">
      <c r="A49" s="434"/>
      <c r="B49" s="277"/>
      <c r="C49" s="277"/>
      <c r="D49" s="435"/>
      <c r="E49" s="436"/>
      <c r="F49" s="102">
        <f t="shared" si="1"/>
        <v>0</v>
      </c>
      <c r="G49" s="442"/>
      <c r="H49" s="445"/>
      <c r="I49" s="134">
        <f t="shared" si="2"/>
        <v>0</v>
      </c>
      <c r="J49" s="99"/>
    </row>
    <row r="50" spans="1:10" ht="15.75" thickBot="1" x14ac:dyDescent="0.3">
      <c r="A50" s="90" t="s">
        <v>11</v>
      </c>
      <c r="B50" s="37"/>
      <c r="C50" s="37"/>
      <c r="D50" s="37"/>
      <c r="E50" s="37"/>
      <c r="F50" s="37"/>
      <c r="G50" s="37"/>
      <c r="H50" s="169"/>
      <c r="I50" s="136">
        <f>SUM(I14:I49)</f>
        <v>579.31500000000005</v>
      </c>
      <c r="J50" s="99"/>
    </row>
    <row r="51" spans="1:10" x14ac:dyDescent="0.2">
      <c r="J51" s="99"/>
    </row>
    <row r="52" spans="1:10" x14ac:dyDescent="0.2">
      <c r="J52" s="99"/>
    </row>
    <row r="53" spans="1:10" ht="15.75" x14ac:dyDescent="0.3">
      <c r="A53" s="472" t="s">
        <v>178</v>
      </c>
    </row>
    <row r="54" spans="1:10" ht="15.75" x14ac:dyDescent="0.3">
      <c r="A54" s="472" t="s">
        <v>217</v>
      </c>
    </row>
    <row r="56" spans="1:10" ht="18" x14ac:dyDescent="0.25">
      <c r="A56" s="1" t="s">
        <v>54</v>
      </c>
    </row>
    <row r="57" spans="1:10" ht="15" x14ac:dyDescent="0.25">
      <c r="A57" s="2" t="s">
        <v>0</v>
      </c>
      <c r="D57" s="11" t="str">
        <f>'Deckungsbeitrag Arbeitsgänge'!B47</f>
        <v>Schwarze Johannisbeere, Ben Alder, Industrieware</v>
      </c>
      <c r="E57" s="11"/>
      <c r="F57" s="11"/>
      <c r="G57" s="11"/>
      <c r="I57" s="99"/>
      <c r="J57" s="99"/>
    </row>
    <row r="58" spans="1:10" ht="15" x14ac:dyDescent="0.25">
      <c r="D58" s="11">
        <f>'Deckungsbeitrag Arbeitsgänge'!B48</f>
        <v>0</v>
      </c>
      <c r="E58" s="11"/>
      <c r="F58" s="11"/>
      <c r="G58" s="11"/>
    </row>
    <row r="59" spans="1:10" ht="15" x14ac:dyDescent="0.25">
      <c r="C59" s="99"/>
      <c r="D59" s="55"/>
      <c r="E59" s="11"/>
      <c r="F59" s="13"/>
      <c r="G59" s="13"/>
      <c r="H59" s="99"/>
      <c r="I59" s="99"/>
    </row>
    <row r="60" spans="1:10" ht="15" x14ac:dyDescent="0.25">
      <c r="A60" t="s">
        <v>1</v>
      </c>
      <c r="B60" s="100"/>
      <c r="D60" s="11" t="str">
        <f>'Deckungsbeitrag Arbeitsgänge'!K47</f>
        <v>Junganlage</v>
      </c>
      <c r="E60" s="13"/>
      <c r="F60" s="99"/>
      <c r="G60" s="99"/>
      <c r="H60" s="99"/>
    </row>
    <row r="61" spans="1:10" ht="15" thickBot="1" x14ac:dyDescent="0.25">
      <c r="A61" t="s">
        <v>30</v>
      </c>
      <c r="C61">
        <v>1</v>
      </c>
      <c r="D61" t="s">
        <v>73</v>
      </c>
      <c r="H61" t="s">
        <v>3</v>
      </c>
    </row>
    <row r="62" spans="1:10" x14ac:dyDescent="0.2">
      <c r="A62" s="91" t="s">
        <v>55</v>
      </c>
      <c r="B62" s="92" t="s">
        <v>56</v>
      </c>
      <c r="C62" s="92" t="s">
        <v>57</v>
      </c>
      <c r="D62" s="92" t="s">
        <v>58</v>
      </c>
      <c r="E62" s="92" t="s">
        <v>59</v>
      </c>
      <c r="F62" s="92" t="s">
        <v>60</v>
      </c>
      <c r="G62" s="92" t="s">
        <v>61</v>
      </c>
      <c r="H62" s="92" t="s">
        <v>62</v>
      </c>
      <c r="I62" s="93" t="s">
        <v>63</v>
      </c>
    </row>
    <row r="63" spans="1:10" x14ac:dyDescent="0.2">
      <c r="A63" s="94" t="s">
        <v>64</v>
      </c>
      <c r="B63" s="95"/>
      <c r="C63" s="95"/>
      <c r="D63" s="95" t="s">
        <v>65</v>
      </c>
      <c r="E63" s="95" t="s">
        <v>66</v>
      </c>
      <c r="F63" s="95" t="s">
        <v>65</v>
      </c>
      <c r="G63" s="95" t="s">
        <v>47</v>
      </c>
      <c r="H63" s="95" t="s">
        <v>67</v>
      </c>
      <c r="I63" s="96" t="s">
        <v>68</v>
      </c>
    </row>
    <row r="64" spans="1:10" x14ac:dyDescent="0.2">
      <c r="A64" s="94"/>
      <c r="B64" s="95" t="s">
        <v>103</v>
      </c>
      <c r="C64" s="95"/>
      <c r="D64" s="95" t="s">
        <v>69</v>
      </c>
      <c r="E64" s="95" t="s">
        <v>70</v>
      </c>
      <c r="F64" s="95" t="s">
        <v>69</v>
      </c>
      <c r="G64" s="95" t="s">
        <v>71</v>
      </c>
      <c r="H64" s="95" t="s">
        <v>72</v>
      </c>
      <c r="I64" s="96"/>
    </row>
    <row r="65" spans="1:9" x14ac:dyDescent="0.2">
      <c r="A65" s="431">
        <v>1</v>
      </c>
      <c r="B65" s="291" t="s">
        <v>38</v>
      </c>
      <c r="C65" s="291" t="s">
        <v>232</v>
      </c>
      <c r="D65" s="432">
        <v>2</v>
      </c>
      <c r="E65" s="433">
        <v>1</v>
      </c>
      <c r="F65" s="101">
        <f>D65*E65</f>
        <v>2</v>
      </c>
      <c r="G65" s="441"/>
      <c r="H65" s="444">
        <v>7.25</v>
      </c>
      <c r="I65" s="175">
        <f t="shared" ref="I65:I100" si="3">F65*H65</f>
        <v>14.5</v>
      </c>
    </row>
    <row r="66" spans="1:9" x14ac:dyDescent="0.2">
      <c r="A66" s="491"/>
      <c r="B66" s="492"/>
      <c r="C66" s="492" t="s">
        <v>241</v>
      </c>
      <c r="D66" s="493">
        <v>3</v>
      </c>
      <c r="E66" s="494">
        <v>1</v>
      </c>
      <c r="F66" s="495">
        <f t="shared" ref="F66:F100" si="4">D66*E66</f>
        <v>3</v>
      </c>
      <c r="G66" s="496"/>
      <c r="H66" s="497">
        <v>48.6</v>
      </c>
      <c r="I66" s="498">
        <f t="shared" si="3"/>
        <v>145.80000000000001</v>
      </c>
    </row>
    <row r="67" spans="1:9" x14ac:dyDescent="0.2">
      <c r="A67" s="434">
        <v>2</v>
      </c>
      <c r="B67" s="277" t="s">
        <v>39</v>
      </c>
      <c r="C67" s="277" t="s">
        <v>232</v>
      </c>
      <c r="D67" s="435">
        <v>2</v>
      </c>
      <c r="E67" s="436">
        <v>1</v>
      </c>
      <c r="F67" s="102">
        <f t="shared" si="4"/>
        <v>2</v>
      </c>
      <c r="G67" s="442"/>
      <c r="H67" s="445">
        <v>7.25</v>
      </c>
      <c r="I67" s="176">
        <f t="shared" si="3"/>
        <v>14.5</v>
      </c>
    </row>
    <row r="68" spans="1:9" x14ac:dyDescent="0.2">
      <c r="A68" s="491"/>
      <c r="B68" s="492"/>
      <c r="C68" s="492" t="s">
        <v>233</v>
      </c>
      <c r="D68" s="493">
        <v>10</v>
      </c>
      <c r="E68" s="494">
        <v>1</v>
      </c>
      <c r="F68" s="495">
        <f t="shared" si="4"/>
        <v>10</v>
      </c>
      <c r="G68" s="496"/>
      <c r="H68" s="497">
        <v>0.36</v>
      </c>
      <c r="I68" s="498">
        <f t="shared" si="3"/>
        <v>3.5999999999999996</v>
      </c>
    </row>
    <row r="69" spans="1:9" x14ac:dyDescent="0.2">
      <c r="A69" s="434">
        <v>3</v>
      </c>
      <c r="B69" s="277" t="s">
        <v>40</v>
      </c>
      <c r="C69" s="277" t="s">
        <v>235</v>
      </c>
      <c r="D69" s="435">
        <v>0.8</v>
      </c>
      <c r="E69" s="436">
        <v>1</v>
      </c>
      <c r="F69" s="102">
        <f t="shared" si="4"/>
        <v>0.8</v>
      </c>
      <c r="G69" s="442"/>
      <c r="H69" s="445">
        <v>19.75</v>
      </c>
      <c r="I69" s="176">
        <f t="shared" si="3"/>
        <v>15.8</v>
      </c>
    </row>
    <row r="70" spans="1:9" x14ac:dyDescent="0.2">
      <c r="A70" s="491"/>
      <c r="B70" s="492"/>
      <c r="C70" s="492" t="s">
        <v>233</v>
      </c>
      <c r="D70" s="493">
        <v>10</v>
      </c>
      <c r="E70" s="494">
        <v>1</v>
      </c>
      <c r="F70" s="495">
        <f t="shared" si="4"/>
        <v>10</v>
      </c>
      <c r="G70" s="496"/>
      <c r="H70" s="497">
        <v>0.36</v>
      </c>
      <c r="I70" s="498">
        <f t="shared" si="3"/>
        <v>3.5999999999999996</v>
      </c>
    </row>
    <row r="71" spans="1:9" x14ac:dyDescent="0.2">
      <c r="A71" s="434">
        <v>4</v>
      </c>
      <c r="B71" s="277" t="s">
        <v>40</v>
      </c>
      <c r="C71" s="277" t="s">
        <v>242</v>
      </c>
      <c r="D71" s="435">
        <v>0.2</v>
      </c>
      <c r="E71" s="436">
        <v>1</v>
      </c>
      <c r="F71" s="102">
        <f t="shared" si="4"/>
        <v>0.2</v>
      </c>
      <c r="G71" s="442"/>
      <c r="H71" s="445">
        <v>144.9</v>
      </c>
      <c r="I71" s="176">
        <f t="shared" si="3"/>
        <v>28.980000000000004</v>
      </c>
    </row>
    <row r="72" spans="1:9" x14ac:dyDescent="0.2">
      <c r="A72" s="491"/>
      <c r="B72" s="492"/>
      <c r="C72" s="492" t="s">
        <v>233</v>
      </c>
      <c r="D72" s="493">
        <v>10</v>
      </c>
      <c r="E72" s="494">
        <v>1</v>
      </c>
      <c r="F72" s="495">
        <f t="shared" si="4"/>
        <v>10</v>
      </c>
      <c r="G72" s="496"/>
      <c r="H72" s="497">
        <v>0.36</v>
      </c>
      <c r="I72" s="498">
        <f t="shared" si="3"/>
        <v>3.5999999999999996</v>
      </c>
    </row>
    <row r="73" spans="1:9" x14ac:dyDescent="0.2">
      <c r="A73" s="434">
        <v>5</v>
      </c>
      <c r="B73" s="277" t="s">
        <v>234</v>
      </c>
      <c r="C73" s="277" t="s">
        <v>235</v>
      </c>
      <c r="D73" s="435">
        <v>0.8</v>
      </c>
      <c r="E73" s="436">
        <v>1</v>
      </c>
      <c r="F73" s="102">
        <f t="shared" si="4"/>
        <v>0.8</v>
      </c>
      <c r="G73" s="442"/>
      <c r="H73" s="445">
        <v>19.75</v>
      </c>
      <c r="I73" s="176">
        <f t="shared" si="3"/>
        <v>15.8</v>
      </c>
    </row>
    <row r="74" spans="1:9" x14ac:dyDescent="0.2">
      <c r="A74" s="491"/>
      <c r="B74" s="492"/>
      <c r="C74" s="492" t="s">
        <v>233</v>
      </c>
      <c r="D74" s="493">
        <v>10</v>
      </c>
      <c r="E74" s="494">
        <v>1</v>
      </c>
      <c r="F74" s="495">
        <f t="shared" si="4"/>
        <v>10</v>
      </c>
      <c r="G74" s="496"/>
      <c r="H74" s="497">
        <v>0.36</v>
      </c>
      <c r="I74" s="498">
        <f t="shared" si="3"/>
        <v>3.5999999999999996</v>
      </c>
    </row>
    <row r="75" spans="1:9" x14ac:dyDescent="0.2">
      <c r="A75" s="434">
        <v>1</v>
      </c>
      <c r="B75" s="277" t="s">
        <v>36</v>
      </c>
      <c r="C75" s="277" t="s">
        <v>240</v>
      </c>
      <c r="D75" s="435">
        <v>0.8</v>
      </c>
      <c r="E75" s="436">
        <v>1</v>
      </c>
      <c r="F75" s="102">
        <f t="shared" si="4"/>
        <v>0.8</v>
      </c>
      <c r="G75" s="442"/>
      <c r="H75" s="445">
        <v>56.75</v>
      </c>
      <c r="I75" s="176">
        <f t="shared" si="3"/>
        <v>45.400000000000006</v>
      </c>
    </row>
    <row r="76" spans="1:9" x14ac:dyDescent="0.2">
      <c r="A76" s="434"/>
      <c r="B76" s="277"/>
      <c r="C76" s="277" t="s">
        <v>237</v>
      </c>
      <c r="D76" s="435">
        <v>2</v>
      </c>
      <c r="E76" s="436">
        <v>1</v>
      </c>
      <c r="F76" s="102">
        <f t="shared" si="4"/>
        <v>2</v>
      </c>
      <c r="G76" s="442"/>
      <c r="H76" s="445"/>
      <c r="I76" s="176">
        <f t="shared" si="3"/>
        <v>0</v>
      </c>
    </row>
    <row r="77" spans="1:9" x14ac:dyDescent="0.2">
      <c r="A77" s="434"/>
      <c r="B77" s="277"/>
      <c r="C77" s="277" t="s">
        <v>238</v>
      </c>
      <c r="D77" s="435">
        <v>0.5</v>
      </c>
      <c r="E77" s="436">
        <v>1</v>
      </c>
      <c r="F77" s="102">
        <f t="shared" si="4"/>
        <v>0.5</v>
      </c>
      <c r="G77" s="442"/>
      <c r="H77" s="445">
        <v>188.2</v>
      </c>
      <c r="I77" s="176">
        <f t="shared" si="3"/>
        <v>94.1</v>
      </c>
    </row>
    <row r="78" spans="1:9" x14ac:dyDescent="0.2">
      <c r="A78" s="491"/>
      <c r="B78" s="492"/>
      <c r="C78" s="492" t="s">
        <v>243</v>
      </c>
      <c r="D78" s="493">
        <v>3.5</v>
      </c>
      <c r="E78" s="494">
        <v>1</v>
      </c>
      <c r="F78" s="495">
        <f t="shared" si="4"/>
        <v>3.5</v>
      </c>
      <c r="G78" s="496"/>
      <c r="H78" s="497">
        <v>16.350000000000001</v>
      </c>
      <c r="I78" s="498">
        <f t="shared" si="3"/>
        <v>57.225000000000009</v>
      </c>
    </row>
    <row r="79" spans="1:9" x14ac:dyDescent="0.2">
      <c r="A79" s="434">
        <v>2</v>
      </c>
      <c r="B79" s="277" t="s">
        <v>234</v>
      </c>
      <c r="C79" s="277" t="s">
        <v>240</v>
      </c>
      <c r="D79" s="435">
        <v>0.8</v>
      </c>
      <c r="E79" s="436">
        <v>1</v>
      </c>
      <c r="F79" s="102">
        <f t="shared" si="4"/>
        <v>0.8</v>
      </c>
      <c r="G79" s="442"/>
      <c r="H79" s="445">
        <v>56.75</v>
      </c>
      <c r="I79" s="176">
        <f t="shared" si="3"/>
        <v>45.400000000000006</v>
      </c>
    </row>
    <row r="80" spans="1:9" x14ac:dyDescent="0.2">
      <c r="A80" s="491"/>
      <c r="B80" s="492"/>
      <c r="C80" s="492" t="s">
        <v>237</v>
      </c>
      <c r="D80" s="493">
        <v>2</v>
      </c>
      <c r="E80" s="494">
        <v>1</v>
      </c>
      <c r="F80" s="495">
        <f t="shared" si="4"/>
        <v>2</v>
      </c>
      <c r="G80" s="496"/>
      <c r="H80" s="497"/>
      <c r="I80" s="498">
        <f t="shared" si="3"/>
        <v>0</v>
      </c>
    </row>
    <row r="81" spans="1:9" x14ac:dyDescent="0.2">
      <c r="A81" s="434"/>
      <c r="B81" s="277"/>
      <c r="C81" s="277"/>
      <c r="D81" s="435"/>
      <c r="E81" s="436"/>
      <c r="F81" s="102">
        <f t="shared" si="4"/>
        <v>0</v>
      </c>
      <c r="G81" s="442"/>
      <c r="H81" s="445"/>
      <c r="I81" s="176">
        <f t="shared" si="3"/>
        <v>0</v>
      </c>
    </row>
    <row r="82" spans="1:9" x14ac:dyDescent="0.2">
      <c r="A82" s="434"/>
      <c r="B82" s="277"/>
      <c r="C82" s="277"/>
      <c r="D82" s="435"/>
      <c r="E82" s="436"/>
      <c r="F82" s="102">
        <f t="shared" si="4"/>
        <v>0</v>
      </c>
      <c r="G82" s="442"/>
      <c r="H82" s="445"/>
      <c r="I82" s="176">
        <f t="shared" si="3"/>
        <v>0</v>
      </c>
    </row>
    <row r="83" spans="1:9" x14ac:dyDescent="0.2">
      <c r="A83" s="434"/>
      <c r="B83" s="277"/>
      <c r="C83" s="277"/>
      <c r="D83" s="435"/>
      <c r="E83" s="436"/>
      <c r="F83" s="102">
        <f t="shared" si="4"/>
        <v>0</v>
      </c>
      <c r="G83" s="442"/>
      <c r="H83" s="445"/>
      <c r="I83" s="176">
        <f t="shared" si="3"/>
        <v>0</v>
      </c>
    </row>
    <row r="84" spans="1:9" x14ac:dyDescent="0.2">
      <c r="A84" s="434"/>
      <c r="B84" s="277"/>
      <c r="C84" s="277"/>
      <c r="D84" s="435"/>
      <c r="E84" s="436"/>
      <c r="F84" s="102">
        <f t="shared" si="4"/>
        <v>0</v>
      </c>
      <c r="G84" s="442"/>
      <c r="H84" s="445"/>
      <c r="I84" s="176">
        <f t="shared" si="3"/>
        <v>0</v>
      </c>
    </row>
    <row r="85" spans="1:9" x14ac:dyDescent="0.2">
      <c r="A85" s="434"/>
      <c r="B85" s="277"/>
      <c r="C85" s="277"/>
      <c r="D85" s="435"/>
      <c r="E85" s="436"/>
      <c r="F85" s="102">
        <f t="shared" si="4"/>
        <v>0</v>
      </c>
      <c r="G85" s="442"/>
      <c r="H85" s="445"/>
      <c r="I85" s="176">
        <f t="shared" si="3"/>
        <v>0</v>
      </c>
    </row>
    <row r="86" spans="1:9" x14ac:dyDescent="0.2">
      <c r="A86" s="434"/>
      <c r="B86" s="277"/>
      <c r="C86" s="277"/>
      <c r="D86" s="435"/>
      <c r="E86" s="436"/>
      <c r="F86" s="102">
        <f t="shared" si="4"/>
        <v>0</v>
      </c>
      <c r="G86" s="442"/>
      <c r="H86" s="445"/>
      <c r="I86" s="176">
        <f t="shared" si="3"/>
        <v>0</v>
      </c>
    </row>
    <row r="87" spans="1:9" x14ac:dyDescent="0.2">
      <c r="A87" s="434"/>
      <c r="B87" s="277"/>
      <c r="C87" s="277"/>
      <c r="D87" s="435"/>
      <c r="E87" s="436"/>
      <c r="F87" s="102">
        <f t="shared" si="4"/>
        <v>0</v>
      </c>
      <c r="G87" s="442"/>
      <c r="H87" s="445"/>
      <c r="I87" s="176">
        <f t="shared" si="3"/>
        <v>0</v>
      </c>
    </row>
    <row r="88" spans="1:9" x14ac:dyDescent="0.2">
      <c r="A88" s="434"/>
      <c r="B88" s="277"/>
      <c r="C88" s="277"/>
      <c r="D88" s="435"/>
      <c r="E88" s="436"/>
      <c r="F88" s="102">
        <f t="shared" si="4"/>
        <v>0</v>
      </c>
      <c r="G88" s="442"/>
      <c r="H88" s="445"/>
      <c r="I88" s="176">
        <f t="shared" si="3"/>
        <v>0</v>
      </c>
    </row>
    <row r="89" spans="1:9" x14ac:dyDescent="0.2">
      <c r="A89" s="434"/>
      <c r="B89" s="277"/>
      <c r="C89" s="277"/>
      <c r="D89" s="435"/>
      <c r="E89" s="436"/>
      <c r="F89" s="102">
        <f t="shared" si="4"/>
        <v>0</v>
      </c>
      <c r="G89" s="442"/>
      <c r="H89" s="445"/>
      <c r="I89" s="176">
        <f t="shared" si="3"/>
        <v>0</v>
      </c>
    </row>
    <row r="90" spans="1:9" x14ac:dyDescent="0.2">
      <c r="A90" s="434"/>
      <c r="B90" s="277"/>
      <c r="C90" s="277"/>
      <c r="D90" s="435"/>
      <c r="E90" s="436"/>
      <c r="F90" s="102">
        <f t="shared" si="4"/>
        <v>0</v>
      </c>
      <c r="G90" s="442"/>
      <c r="H90" s="445"/>
      <c r="I90" s="176">
        <f t="shared" si="3"/>
        <v>0</v>
      </c>
    </row>
    <row r="91" spans="1:9" x14ac:dyDescent="0.2">
      <c r="A91" s="434"/>
      <c r="B91" s="277"/>
      <c r="C91" s="277"/>
      <c r="D91" s="435"/>
      <c r="E91" s="436"/>
      <c r="F91" s="102">
        <f t="shared" si="4"/>
        <v>0</v>
      </c>
      <c r="G91" s="442"/>
      <c r="H91" s="445"/>
      <c r="I91" s="176">
        <f t="shared" si="3"/>
        <v>0</v>
      </c>
    </row>
    <row r="92" spans="1:9" x14ac:dyDescent="0.2">
      <c r="A92" s="434"/>
      <c r="B92" s="277"/>
      <c r="C92" s="277"/>
      <c r="D92" s="435"/>
      <c r="E92" s="436"/>
      <c r="F92" s="102">
        <f t="shared" si="4"/>
        <v>0</v>
      </c>
      <c r="G92" s="442"/>
      <c r="H92" s="445"/>
      <c r="I92" s="176">
        <f t="shared" si="3"/>
        <v>0</v>
      </c>
    </row>
    <row r="93" spans="1:9" x14ac:dyDescent="0.2">
      <c r="A93" s="434"/>
      <c r="B93" s="277"/>
      <c r="C93" s="277"/>
      <c r="D93" s="435"/>
      <c r="E93" s="436"/>
      <c r="F93" s="102">
        <f t="shared" si="4"/>
        <v>0</v>
      </c>
      <c r="G93" s="442"/>
      <c r="H93" s="445"/>
      <c r="I93" s="176">
        <f t="shared" si="3"/>
        <v>0</v>
      </c>
    </row>
    <row r="94" spans="1:9" x14ac:dyDescent="0.2">
      <c r="A94" s="434"/>
      <c r="B94" s="277"/>
      <c r="C94" s="277"/>
      <c r="D94" s="435"/>
      <c r="E94" s="436"/>
      <c r="F94" s="102">
        <f t="shared" si="4"/>
        <v>0</v>
      </c>
      <c r="G94" s="442"/>
      <c r="H94" s="445"/>
      <c r="I94" s="176">
        <f t="shared" si="3"/>
        <v>0</v>
      </c>
    </row>
    <row r="95" spans="1:9" x14ac:dyDescent="0.2">
      <c r="A95" s="434"/>
      <c r="B95" s="277"/>
      <c r="C95" s="277"/>
      <c r="D95" s="435"/>
      <c r="E95" s="436"/>
      <c r="F95" s="102">
        <f t="shared" si="4"/>
        <v>0</v>
      </c>
      <c r="G95" s="442"/>
      <c r="H95" s="445"/>
      <c r="I95" s="176">
        <f t="shared" si="3"/>
        <v>0</v>
      </c>
    </row>
    <row r="96" spans="1:9" x14ac:dyDescent="0.2">
      <c r="A96" s="434"/>
      <c r="B96" s="277"/>
      <c r="C96" s="277"/>
      <c r="D96" s="435"/>
      <c r="E96" s="436"/>
      <c r="F96" s="102">
        <f t="shared" si="4"/>
        <v>0</v>
      </c>
      <c r="G96" s="442"/>
      <c r="H96" s="445"/>
      <c r="I96" s="176">
        <f t="shared" si="3"/>
        <v>0</v>
      </c>
    </row>
    <row r="97" spans="1:10" x14ac:dyDescent="0.2">
      <c r="A97" s="434"/>
      <c r="B97" s="277"/>
      <c r="C97" s="277"/>
      <c r="D97" s="435"/>
      <c r="E97" s="436"/>
      <c r="F97" s="102">
        <f t="shared" si="4"/>
        <v>0</v>
      </c>
      <c r="G97" s="442"/>
      <c r="H97" s="445"/>
      <c r="I97" s="176">
        <f t="shared" si="3"/>
        <v>0</v>
      </c>
    </row>
    <row r="98" spans="1:10" x14ac:dyDescent="0.2">
      <c r="A98" s="434"/>
      <c r="B98" s="277"/>
      <c r="C98" s="277"/>
      <c r="D98" s="435"/>
      <c r="E98" s="436"/>
      <c r="F98" s="102">
        <f t="shared" si="4"/>
        <v>0</v>
      </c>
      <c r="G98" s="442"/>
      <c r="H98" s="445"/>
      <c r="I98" s="176">
        <f t="shared" si="3"/>
        <v>0</v>
      </c>
    </row>
    <row r="99" spans="1:10" x14ac:dyDescent="0.2">
      <c r="A99" s="434"/>
      <c r="B99" s="277"/>
      <c r="C99" s="277"/>
      <c r="D99" s="435"/>
      <c r="E99" s="436"/>
      <c r="F99" s="102">
        <f t="shared" si="4"/>
        <v>0</v>
      </c>
      <c r="G99" s="442"/>
      <c r="H99" s="445"/>
      <c r="I99" s="176">
        <f t="shared" si="3"/>
        <v>0</v>
      </c>
    </row>
    <row r="100" spans="1:10" ht="15" thickBot="1" x14ac:dyDescent="0.25">
      <c r="A100" s="437"/>
      <c r="B100" s="438"/>
      <c r="C100" s="438"/>
      <c r="D100" s="439"/>
      <c r="E100" s="440"/>
      <c r="F100" s="102">
        <f t="shared" si="4"/>
        <v>0</v>
      </c>
      <c r="G100" s="443"/>
      <c r="H100" s="490"/>
      <c r="I100" s="177">
        <f t="shared" si="3"/>
        <v>0</v>
      </c>
    </row>
    <row r="101" spans="1:10" ht="15.75" thickBot="1" x14ac:dyDescent="0.3">
      <c r="A101" s="90" t="s">
        <v>11</v>
      </c>
      <c r="B101" s="37"/>
      <c r="C101" s="37"/>
      <c r="D101" s="37"/>
      <c r="E101" s="37"/>
      <c r="F101" s="37"/>
      <c r="G101" s="37"/>
      <c r="H101" s="103"/>
      <c r="I101" s="178">
        <f>SUM(I65:I100)</f>
        <v>491.90500000000009</v>
      </c>
    </row>
    <row r="107" spans="1:10" ht="15.75" x14ac:dyDescent="0.3">
      <c r="A107" s="472" t="s">
        <v>178</v>
      </c>
    </row>
    <row r="108" spans="1:10" ht="15.75" x14ac:dyDescent="0.3">
      <c r="A108" s="472" t="s">
        <v>217</v>
      </c>
    </row>
    <row r="110" spans="1:10" ht="18" x14ac:dyDescent="0.25">
      <c r="A110" s="1" t="s">
        <v>54</v>
      </c>
    </row>
    <row r="111" spans="1:10" ht="15" x14ac:dyDescent="0.25">
      <c r="A111" s="2" t="s">
        <v>0</v>
      </c>
      <c r="D111" s="11" t="str">
        <f>'Deckungsbeitrag Arbeitsgänge'!B85</f>
        <v>Schwarze Johannisbeere, Ben Alder, Industrieware</v>
      </c>
      <c r="E111" s="11"/>
      <c r="F111" s="11"/>
      <c r="G111" s="11"/>
      <c r="H111" s="100"/>
      <c r="I111" s="99"/>
      <c r="J111" s="99"/>
    </row>
    <row r="112" spans="1:10" ht="15" x14ac:dyDescent="0.25">
      <c r="D112" s="11">
        <f>'Deckungsbeitrag Arbeitsgänge'!B48</f>
        <v>0</v>
      </c>
      <c r="E112" s="11"/>
      <c r="F112" s="11"/>
      <c r="G112" s="13"/>
    </row>
    <row r="113" spans="1:9" ht="15" x14ac:dyDescent="0.25">
      <c r="C113" s="99"/>
      <c r="D113" s="55"/>
      <c r="E113" s="11"/>
      <c r="F113" s="13"/>
      <c r="G113" s="13"/>
      <c r="H113" s="99"/>
      <c r="I113" s="99"/>
    </row>
    <row r="114" spans="1:9" ht="15" x14ac:dyDescent="0.25">
      <c r="A114" t="s">
        <v>1</v>
      </c>
      <c r="B114" s="100"/>
      <c r="D114" s="11" t="str">
        <f>'Deckungsbeitrag Arbeitsgänge'!K85</f>
        <v>Neuanlage</v>
      </c>
      <c r="E114" s="13"/>
      <c r="F114" s="99"/>
      <c r="G114" s="99"/>
      <c r="H114" s="99"/>
    </row>
    <row r="115" spans="1:9" ht="15" thickBot="1" x14ac:dyDescent="0.25">
      <c r="A115" t="s">
        <v>30</v>
      </c>
      <c r="B115">
        <v>1</v>
      </c>
      <c r="C115" t="s">
        <v>73</v>
      </c>
      <c r="H115" t="s">
        <v>3</v>
      </c>
    </row>
    <row r="116" spans="1:9" x14ac:dyDescent="0.2">
      <c r="A116" s="91" t="s">
        <v>55</v>
      </c>
      <c r="B116" s="92" t="s">
        <v>56</v>
      </c>
      <c r="C116" s="92" t="s">
        <v>57</v>
      </c>
      <c r="D116" s="92" t="s">
        <v>58</v>
      </c>
      <c r="E116" s="92" t="s">
        <v>59</v>
      </c>
      <c r="F116" s="92" t="s">
        <v>60</v>
      </c>
      <c r="G116" s="92" t="s">
        <v>61</v>
      </c>
      <c r="H116" s="92" t="s">
        <v>62</v>
      </c>
      <c r="I116" s="93" t="s">
        <v>63</v>
      </c>
    </row>
    <row r="117" spans="1:9" x14ac:dyDescent="0.2">
      <c r="A117" s="94" t="s">
        <v>64</v>
      </c>
      <c r="B117" s="95"/>
      <c r="C117" s="95"/>
      <c r="D117" s="95" t="s">
        <v>65</v>
      </c>
      <c r="E117" s="95" t="s">
        <v>66</v>
      </c>
      <c r="F117" s="95" t="s">
        <v>65</v>
      </c>
      <c r="G117" s="95" t="s">
        <v>47</v>
      </c>
      <c r="H117" s="95" t="s">
        <v>67</v>
      </c>
      <c r="I117" s="96" t="s">
        <v>68</v>
      </c>
    </row>
    <row r="118" spans="1:9" x14ac:dyDescent="0.2">
      <c r="A118" s="94"/>
      <c r="B118" s="95" t="s">
        <v>103</v>
      </c>
      <c r="C118" s="95"/>
      <c r="D118" s="95" t="s">
        <v>69</v>
      </c>
      <c r="E118" s="95" t="s">
        <v>70</v>
      </c>
      <c r="F118" s="95" t="s">
        <v>69</v>
      </c>
      <c r="G118" s="95" t="s">
        <v>71</v>
      </c>
      <c r="H118" s="95" t="s">
        <v>72</v>
      </c>
      <c r="I118" s="96"/>
    </row>
    <row r="119" spans="1:9" x14ac:dyDescent="0.2">
      <c r="A119" s="431">
        <v>1</v>
      </c>
      <c r="B119" s="291" t="s">
        <v>38</v>
      </c>
      <c r="C119" s="291" t="s">
        <v>232</v>
      </c>
      <c r="D119" s="432">
        <v>2</v>
      </c>
      <c r="E119" s="433">
        <v>1</v>
      </c>
      <c r="F119" s="101">
        <f>D119*E119</f>
        <v>2</v>
      </c>
      <c r="G119" s="441"/>
      <c r="H119" s="444">
        <v>7.25</v>
      </c>
      <c r="I119" s="132">
        <f t="shared" ref="I119:I136" si="5">F119*H119</f>
        <v>14.5</v>
      </c>
    </row>
    <row r="120" spans="1:9" x14ac:dyDescent="0.2">
      <c r="A120" s="491"/>
      <c r="B120" s="492"/>
      <c r="C120" s="492" t="s">
        <v>241</v>
      </c>
      <c r="D120" s="493">
        <v>3</v>
      </c>
      <c r="E120" s="494">
        <v>1</v>
      </c>
      <c r="F120" s="495">
        <f t="shared" ref="F120:F136" si="6">D120*E120</f>
        <v>3</v>
      </c>
      <c r="G120" s="496"/>
      <c r="H120" s="497">
        <v>48.6</v>
      </c>
      <c r="I120" s="134">
        <f t="shared" si="5"/>
        <v>145.80000000000001</v>
      </c>
    </row>
    <row r="121" spans="1:9" x14ac:dyDescent="0.2">
      <c r="A121" s="434">
        <v>2</v>
      </c>
      <c r="B121" s="277" t="s">
        <v>40</v>
      </c>
      <c r="C121" s="277" t="s">
        <v>232</v>
      </c>
      <c r="D121" s="435">
        <v>2</v>
      </c>
      <c r="E121" s="436">
        <v>1</v>
      </c>
      <c r="F121" s="102">
        <f t="shared" si="6"/>
        <v>2</v>
      </c>
      <c r="G121" s="442"/>
      <c r="H121" s="445">
        <v>7.25</v>
      </c>
      <c r="I121" s="133">
        <f t="shared" si="5"/>
        <v>14.5</v>
      </c>
    </row>
    <row r="122" spans="1:9" x14ac:dyDescent="0.2">
      <c r="A122" s="491"/>
      <c r="B122" s="492"/>
      <c r="C122" s="492" t="s">
        <v>233</v>
      </c>
      <c r="D122" s="493">
        <v>10</v>
      </c>
      <c r="E122" s="494">
        <v>1</v>
      </c>
      <c r="F122" s="495">
        <f t="shared" si="6"/>
        <v>10</v>
      </c>
      <c r="G122" s="496"/>
      <c r="H122" s="497">
        <v>0.36</v>
      </c>
      <c r="I122" s="134">
        <f t="shared" si="5"/>
        <v>3.5999999999999996</v>
      </c>
    </row>
    <row r="123" spans="1:9" x14ac:dyDescent="0.2">
      <c r="A123" s="434">
        <v>3</v>
      </c>
      <c r="B123" s="277" t="s">
        <v>234</v>
      </c>
      <c r="C123" s="277" t="s">
        <v>235</v>
      </c>
      <c r="D123" s="435">
        <v>0.8</v>
      </c>
      <c r="E123" s="436">
        <v>1</v>
      </c>
      <c r="F123" s="102">
        <f t="shared" si="6"/>
        <v>0.8</v>
      </c>
      <c r="G123" s="442"/>
      <c r="H123" s="445">
        <v>19.75</v>
      </c>
      <c r="I123" s="133">
        <f t="shared" si="5"/>
        <v>15.8</v>
      </c>
    </row>
    <row r="124" spans="1:9" x14ac:dyDescent="0.2">
      <c r="A124" s="491"/>
      <c r="B124" s="492"/>
      <c r="C124" s="492" t="s">
        <v>233</v>
      </c>
      <c r="D124" s="493">
        <v>10</v>
      </c>
      <c r="E124" s="494">
        <v>1</v>
      </c>
      <c r="F124" s="495">
        <f t="shared" si="6"/>
        <v>10</v>
      </c>
      <c r="G124" s="496"/>
      <c r="H124" s="497">
        <v>0.36</v>
      </c>
      <c r="I124" s="134">
        <f t="shared" si="5"/>
        <v>3.5999999999999996</v>
      </c>
    </row>
    <row r="125" spans="1:9" x14ac:dyDescent="0.2">
      <c r="A125" s="434">
        <v>1</v>
      </c>
      <c r="B125" s="277" t="s">
        <v>36</v>
      </c>
      <c r="C125" s="277" t="s">
        <v>236</v>
      </c>
      <c r="D125" s="435">
        <v>0.8</v>
      </c>
      <c r="E125" s="436">
        <v>1</v>
      </c>
      <c r="F125" s="102">
        <f t="shared" si="6"/>
        <v>0.8</v>
      </c>
      <c r="G125" s="442"/>
      <c r="H125" s="445">
        <v>56.75</v>
      </c>
      <c r="I125" s="133">
        <f t="shared" si="5"/>
        <v>45.400000000000006</v>
      </c>
    </row>
    <row r="126" spans="1:9" x14ac:dyDescent="0.2">
      <c r="A126" s="434"/>
      <c r="B126" s="277"/>
      <c r="C126" s="277" t="s">
        <v>237</v>
      </c>
      <c r="D126" s="435">
        <v>2</v>
      </c>
      <c r="E126" s="436">
        <v>1</v>
      </c>
      <c r="F126" s="102">
        <f t="shared" si="6"/>
        <v>2</v>
      </c>
      <c r="G126" s="442"/>
      <c r="H126" s="445"/>
      <c r="I126" s="133">
        <f t="shared" si="5"/>
        <v>0</v>
      </c>
    </row>
    <row r="127" spans="1:9" x14ac:dyDescent="0.2">
      <c r="A127" s="434"/>
      <c r="B127" s="277"/>
      <c r="C127" s="277" t="s">
        <v>238</v>
      </c>
      <c r="D127" s="435">
        <v>0.5</v>
      </c>
      <c r="E127" s="436">
        <v>1</v>
      </c>
      <c r="F127" s="102">
        <f t="shared" si="6"/>
        <v>0.5</v>
      </c>
      <c r="G127" s="442"/>
      <c r="H127" s="445">
        <v>188.2</v>
      </c>
      <c r="I127" s="133">
        <f t="shared" si="5"/>
        <v>94.1</v>
      </c>
    </row>
    <row r="128" spans="1:9" x14ac:dyDescent="0.2">
      <c r="A128" s="491"/>
      <c r="B128" s="492"/>
      <c r="C128" s="492" t="s">
        <v>239</v>
      </c>
      <c r="D128" s="493">
        <v>3.5</v>
      </c>
      <c r="E128" s="494">
        <v>1</v>
      </c>
      <c r="F128" s="495">
        <f t="shared" si="6"/>
        <v>3.5</v>
      </c>
      <c r="G128" s="496"/>
      <c r="H128" s="497">
        <v>16.350000000000001</v>
      </c>
      <c r="I128" s="134">
        <f t="shared" si="5"/>
        <v>57.225000000000009</v>
      </c>
    </row>
    <row r="129" spans="1:9" x14ac:dyDescent="0.2">
      <c r="A129" s="434">
        <v>2</v>
      </c>
      <c r="B129" s="277" t="s">
        <v>234</v>
      </c>
      <c r="C129" s="277" t="s">
        <v>240</v>
      </c>
      <c r="D129" s="435">
        <v>0.8</v>
      </c>
      <c r="E129" s="436">
        <v>1</v>
      </c>
      <c r="F129" s="102">
        <f t="shared" si="6"/>
        <v>0.8</v>
      </c>
      <c r="G129" s="442"/>
      <c r="H129" s="445">
        <v>56.75</v>
      </c>
      <c r="I129" s="133">
        <f t="shared" si="5"/>
        <v>45.400000000000006</v>
      </c>
    </row>
    <row r="130" spans="1:9" x14ac:dyDescent="0.2">
      <c r="A130" s="491"/>
      <c r="B130" s="492"/>
      <c r="C130" s="492" t="s">
        <v>237</v>
      </c>
      <c r="D130" s="493">
        <v>2</v>
      </c>
      <c r="E130" s="494">
        <v>1</v>
      </c>
      <c r="F130" s="495">
        <f t="shared" si="6"/>
        <v>2</v>
      </c>
      <c r="G130" s="496"/>
      <c r="H130" s="497"/>
      <c r="I130" s="134">
        <f t="shared" si="5"/>
        <v>0</v>
      </c>
    </row>
    <row r="131" spans="1:9" x14ac:dyDescent="0.2">
      <c r="A131" s="434"/>
      <c r="B131" s="277"/>
      <c r="C131" s="277"/>
      <c r="D131" s="435"/>
      <c r="E131" s="436"/>
      <c r="F131" s="102">
        <f t="shared" si="6"/>
        <v>0</v>
      </c>
      <c r="G131" s="442"/>
      <c r="H131" s="445"/>
      <c r="I131" s="133">
        <f t="shared" si="5"/>
        <v>0</v>
      </c>
    </row>
    <row r="132" spans="1:9" x14ac:dyDescent="0.2">
      <c r="A132" s="434"/>
      <c r="B132" s="277"/>
      <c r="C132" s="277"/>
      <c r="D132" s="435"/>
      <c r="E132" s="436"/>
      <c r="F132" s="102">
        <f t="shared" si="6"/>
        <v>0</v>
      </c>
      <c r="G132" s="442"/>
      <c r="H132" s="445"/>
      <c r="I132" s="133">
        <f t="shared" si="5"/>
        <v>0</v>
      </c>
    </row>
    <row r="133" spans="1:9" x14ac:dyDescent="0.2">
      <c r="A133" s="434"/>
      <c r="B133" s="277"/>
      <c r="C133" s="277"/>
      <c r="D133" s="435"/>
      <c r="E133" s="436"/>
      <c r="F133" s="102">
        <f t="shared" si="6"/>
        <v>0</v>
      </c>
      <c r="G133" s="442"/>
      <c r="H133" s="445"/>
      <c r="I133" s="133">
        <f t="shared" si="5"/>
        <v>0</v>
      </c>
    </row>
    <row r="134" spans="1:9" x14ac:dyDescent="0.2">
      <c r="A134" s="434"/>
      <c r="B134" s="277"/>
      <c r="C134" s="277"/>
      <c r="D134" s="435"/>
      <c r="E134" s="436"/>
      <c r="F134" s="102">
        <f t="shared" si="6"/>
        <v>0</v>
      </c>
      <c r="G134" s="442"/>
      <c r="H134" s="445"/>
      <c r="I134" s="133">
        <f t="shared" si="5"/>
        <v>0</v>
      </c>
    </row>
    <row r="135" spans="1:9" x14ac:dyDescent="0.2">
      <c r="A135" s="434"/>
      <c r="B135" s="277"/>
      <c r="C135" s="277"/>
      <c r="D135" s="435"/>
      <c r="E135" s="436"/>
      <c r="F135" s="102">
        <f t="shared" si="6"/>
        <v>0</v>
      </c>
      <c r="G135" s="442"/>
      <c r="H135" s="445"/>
      <c r="I135" s="133">
        <f t="shared" si="5"/>
        <v>0</v>
      </c>
    </row>
    <row r="136" spans="1:9" x14ac:dyDescent="0.2">
      <c r="A136" s="434"/>
      <c r="B136" s="277"/>
      <c r="C136" s="277"/>
      <c r="D136" s="435"/>
      <c r="E136" s="436"/>
      <c r="F136" s="102">
        <f t="shared" si="6"/>
        <v>0</v>
      </c>
      <c r="G136" s="442"/>
      <c r="H136" s="445"/>
      <c r="I136" s="133">
        <f t="shared" si="5"/>
        <v>0</v>
      </c>
    </row>
    <row r="137" spans="1:9" x14ac:dyDescent="0.2">
      <c r="A137" s="434"/>
      <c r="B137" s="277"/>
      <c r="C137" s="277"/>
      <c r="D137" s="435"/>
      <c r="E137" s="436"/>
      <c r="F137" s="102">
        <f t="shared" ref="F137:F156" si="7">D137*E137</f>
        <v>0</v>
      </c>
      <c r="G137" s="442"/>
      <c r="H137" s="445"/>
      <c r="I137" s="133">
        <f t="shared" ref="I137:I156" si="8">F137*H137</f>
        <v>0</v>
      </c>
    </row>
    <row r="138" spans="1:9" x14ac:dyDescent="0.2">
      <c r="A138" s="434"/>
      <c r="B138" s="277"/>
      <c r="C138" s="277"/>
      <c r="D138" s="435"/>
      <c r="E138" s="436"/>
      <c r="F138" s="102">
        <f t="shared" si="7"/>
        <v>0</v>
      </c>
      <c r="G138" s="442"/>
      <c r="H138" s="445"/>
      <c r="I138" s="133">
        <f t="shared" si="8"/>
        <v>0</v>
      </c>
    </row>
    <row r="139" spans="1:9" x14ac:dyDescent="0.2">
      <c r="A139" s="434"/>
      <c r="B139" s="277"/>
      <c r="C139" s="277"/>
      <c r="D139" s="435"/>
      <c r="E139" s="436"/>
      <c r="F139" s="102">
        <f t="shared" si="7"/>
        <v>0</v>
      </c>
      <c r="G139" s="442"/>
      <c r="H139" s="445"/>
      <c r="I139" s="133">
        <f t="shared" si="8"/>
        <v>0</v>
      </c>
    </row>
    <row r="140" spans="1:9" x14ac:dyDescent="0.2">
      <c r="A140" s="434"/>
      <c r="B140" s="277"/>
      <c r="C140" s="277"/>
      <c r="D140" s="435"/>
      <c r="E140" s="436"/>
      <c r="F140" s="102">
        <f t="shared" si="7"/>
        <v>0</v>
      </c>
      <c r="G140" s="442"/>
      <c r="H140" s="445"/>
      <c r="I140" s="133">
        <f t="shared" si="8"/>
        <v>0</v>
      </c>
    </row>
    <row r="141" spans="1:9" x14ac:dyDescent="0.2">
      <c r="A141" s="434"/>
      <c r="B141" s="277"/>
      <c r="C141" s="277"/>
      <c r="D141" s="435"/>
      <c r="E141" s="436"/>
      <c r="F141" s="102">
        <f t="shared" si="7"/>
        <v>0</v>
      </c>
      <c r="G141" s="442"/>
      <c r="H141" s="445"/>
      <c r="I141" s="133">
        <f t="shared" si="8"/>
        <v>0</v>
      </c>
    </row>
    <row r="142" spans="1:9" x14ac:dyDescent="0.2">
      <c r="A142" s="434"/>
      <c r="B142" s="277"/>
      <c r="C142" s="277"/>
      <c r="D142" s="435"/>
      <c r="E142" s="436"/>
      <c r="F142" s="102">
        <f t="shared" si="7"/>
        <v>0</v>
      </c>
      <c r="G142" s="442"/>
      <c r="H142" s="445"/>
      <c r="I142" s="133">
        <f t="shared" si="8"/>
        <v>0</v>
      </c>
    </row>
    <row r="143" spans="1:9" x14ac:dyDescent="0.2">
      <c r="A143" s="434"/>
      <c r="B143" s="277"/>
      <c r="C143" s="277"/>
      <c r="D143" s="435"/>
      <c r="E143" s="436"/>
      <c r="F143" s="102">
        <f t="shared" si="7"/>
        <v>0</v>
      </c>
      <c r="G143" s="442"/>
      <c r="H143" s="445"/>
      <c r="I143" s="133">
        <f t="shared" si="8"/>
        <v>0</v>
      </c>
    </row>
    <row r="144" spans="1:9" x14ac:dyDescent="0.2">
      <c r="A144" s="434"/>
      <c r="B144" s="277"/>
      <c r="C144" s="277"/>
      <c r="D144" s="435"/>
      <c r="E144" s="436"/>
      <c r="F144" s="102">
        <f t="shared" si="7"/>
        <v>0</v>
      </c>
      <c r="G144" s="442"/>
      <c r="H144" s="445"/>
      <c r="I144" s="133">
        <f t="shared" si="8"/>
        <v>0</v>
      </c>
    </row>
    <row r="145" spans="1:9" x14ac:dyDescent="0.2">
      <c r="A145" s="434"/>
      <c r="B145" s="277"/>
      <c r="C145" s="277"/>
      <c r="D145" s="435"/>
      <c r="E145" s="436"/>
      <c r="F145" s="102">
        <f t="shared" si="7"/>
        <v>0</v>
      </c>
      <c r="G145" s="442"/>
      <c r="H145" s="445"/>
      <c r="I145" s="133">
        <f t="shared" si="8"/>
        <v>0</v>
      </c>
    </row>
    <row r="146" spans="1:9" x14ac:dyDescent="0.2">
      <c r="A146" s="434"/>
      <c r="B146" s="277"/>
      <c r="C146" s="277"/>
      <c r="D146" s="435"/>
      <c r="E146" s="436"/>
      <c r="F146" s="102">
        <f t="shared" si="7"/>
        <v>0</v>
      </c>
      <c r="G146" s="442"/>
      <c r="H146" s="445"/>
      <c r="I146" s="133">
        <f t="shared" si="8"/>
        <v>0</v>
      </c>
    </row>
    <row r="147" spans="1:9" x14ac:dyDescent="0.2">
      <c r="A147" s="434"/>
      <c r="B147" s="277"/>
      <c r="C147" s="277"/>
      <c r="D147" s="435"/>
      <c r="E147" s="436"/>
      <c r="F147" s="102">
        <f t="shared" si="7"/>
        <v>0</v>
      </c>
      <c r="G147" s="442"/>
      <c r="H147" s="445"/>
      <c r="I147" s="133">
        <f t="shared" si="8"/>
        <v>0</v>
      </c>
    </row>
    <row r="148" spans="1:9" x14ac:dyDescent="0.2">
      <c r="A148" s="434"/>
      <c r="B148" s="277"/>
      <c r="C148" s="277"/>
      <c r="D148" s="435"/>
      <c r="E148" s="436"/>
      <c r="F148" s="102">
        <f t="shared" si="7"/>
        <v>0</v>
      </c>
      <c r="G148" s="442"/>
      <c r="H148" s="445"/>
      <c r="I148" s="133">
        <f t="shared" si="8"/>
        <v>0</v>
      </c>
    </row>
    <row r="149" spans="1:9" x14ac:dyDescent="0.2">
      <c r="A149" s="434"/>
      <c r="B149" s="277"/>
      <c r="C149" s="277"/>
      <c r="D149" s="435"/>
      <c r="E149" s="436"/>
      <c r="F149" s="102">
        <f t="shared" si="7"/>
        <v>0</v>
      </c>
      <c r="G149" s="442"/>
      <c r="H149" s="445"/>
      <c r="I149" s="133">
        <f t="shared" si="8"/>
        <v>0</v>
      </c>
    </row>
    <row r="150" spans="1:9" x14ac:dyDescent="0.2">
      <c r="A150" s="434"/>
      <c r="B150" s="277"/>
      <c r="C150" s="277"/>
      <c r="D150" s="435"/>
      <c r="E150" s="436"/>
      <c r="F150" s="102">
        <f t="shared" si="7"/>
        <v>0</v>
      </c>
      <c r="G150" s="442"/>
      <c r="H150" s="445"/>
      <c r="I150" s="133">
        <f t="shared" si="8"/>
        <v>0</v>
      </c>
    </row>
    <row r="151" spans="1:9" x14ac:dyDescent="0.2">
      <c r="A151" s="434"/>
      <c r="B151" s="277"/>
      <c r="C151" s="277"/>
      <c r="D151" s="435"/>
      <c r="E151" s="436"/>
      <c r="F151" s="102">
        <f t="shared" si="7"/>
        <v>0</v>
      </c>
      <c r="G151" s="442"/>
      <c r="H151" s="445"/>
      <c r="I151" s="133">
        <f t="shared" si="8"/>
        <v>0</v>
      </c>
    </row>
    <row r="152" spans="1:9" x14ac:dyDescent="0.2">
      <c r="A152" s="434"/>
      <c r="B152" s="277"/>
      <c r="C152" s="277"/>
      <c r="D152" s="435"/>
      <c r="E152" s="436"/>
      <c r="F152" s="102">
        <f t="shared" si="7"/>
        <v>0</v>
      </c>
      <c r="G152" s="442"/>
      <c r="H152" s="445"/>
      <c r="I152" s="133">
        <f t="shared" si="8"/>
        <v>0</v>
      </c>
    </row>
    <row r="153" spans="1:9" x14ac:dyDescent="0.2">
      <c r="A153" s="434"/>
      <c r="B153" s="277"/>
      <c r="C153" s="277"/>
      <c r="D153" s="435"/>
      <c r="E153" s="436"/>
      <c r="F153" s="102">
        <f t="shared" si="7"/>
        <v>0</v>
      </c>
      <c r="G153" s="442"/>
      <c r="H153" s="445"/>
      <c r="I153" s="133">
        <f t="shared" si="8"/>
        <v>0</v>
      </c>
    </row>
    <row r="154" spans="1:9" x14ac:dyDescent="0.2">
      <c r="A154" s="434"/>
      <c r="B154" s="277"/>
      <c r="C154" s="277"/>
      <c r="D154" s="435"/>
      <c r="E154" s="436"/>
      <c r="F154" s="102">
        <f t="shared" si="7"/>
        <v>0</v>
      </c>
      <c r="G154" s="442"/>
      <c r="H154" s="445"/>
      <c r="I154" s="133">
        <f t="shared" si="8"/>
        <v>0</v>
      </c>
    </row>
    <row r="155" spans="1:9" x14ac:dyDescent="0.2">
      <c r="A155" s="434"/>
      <c r="B155" s="277"/>
      <c r="C155" s="277"/>
      <c r="D155" s="435"/>
      <c r="E155" s="436"/>
      <c r="F155" s="102">
        <f t="shared" si="7"/>
        <v>0</v>
      </c>
      <c r="G155" s="442"/>
      <c r="H155" s="445"/>
      <c r="I155" s="133">
        <f t="shared" si="8"/>
        <v>0</v>
      </c>
    </row>
    <row r="156" spans="1:9" ht="15" thickBot="1" x14ac:dyDescent="0.25">
      <c r="A156" s="434"/>
      <c r="B156" s="277"/>
      <c r="C156" s="277"/>
      <c r="D156" s="435"/>
      <c r="E156" s="436"/>
      <c r="F156" s="102">
        <f t="shared" si="7"/>
        <v>0</v>
      </c>
      <c r="G156" s="442"/>
      <c r="H156" s="445"/>
      <c r="I156" s="133">
        <f t="shared" si="8"/>
        <v>0</v>
      </c>
    </row>
    <row r="157" spans="1:9" ht="15.75" thickBot="1" x14ac:dyDescent="0.3">
      <c r="A157" s="90" t="s">
        <v>11</v>
      </c>
      <c r="B157" s="37"/>
      <c r="C157" s="37"/>
      <c r="D157" s="37"/>
      <c r="E157" s="37"/>
      <c r="F157" s="37"/>
      <c r="G157" s="37"/>
      <c r="H157" s="103"/>
      <c r="I157" s="136">
        <f>SUM(I119:I156)</f>
        <v>439.92500000000007</v>
      </c>
    </row>
  </sheetData>
  <sheetProtection password="DC5E" sheet="1" objects="1" scenarios="1" selectLockedCell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9219" r:id="rId4">
          <objectPr defaultSize="0" autoPict="0" r:id="rId5">
            <anchor moveWithCells="1" sizeWithCells="1">
              <from>
                <xdr:col>1</xdr:col>
                <xdr:colOff>0</xdr:colOff>
                <xdr:row>105</xdr:row>
                <xdr:rowOff>104775</xdr:rowOff>
              </from>
              <to>
                <xdr:col>1</xdr:col>
                <xdr:colOff>0</xdr:colOff>
                <xdr:row>107</xdr:row>
                <xdr:rowOff>123825</xdr:rowOff>
              </to>
            </anchor>
          </objectPr>
        </oleObject>
      </mc:Choice>
      <mc:Fallback>
        <oleObject progId="Word.Picture.8" shapeId="9219" r:id="rId4"/>
      </mc:Fallback>
    </mc:AlternateContent>
    <mc:AlternateContent xmlns:mc="http://schemas.openxmlformats.org/markup-compatibility/2006">
      <mc:Choice Requires="x14">
        <oleObject progId="Word.Picture.8" shapeId="9220" r:id="rId6">
          <objectPr defaultSize="0" autoPict="0" r:id="rId5">
            <anchor moveWithCells="1" sizeWithCells="1">
              <from>
                <xdr:col>2</xdr:col>
                <xdr:colOff>771525</xdr:colOff>
                <xdr:row>105</xdr:row>
                <xdr:rowOff>19050</xdr:rowOff>
              </from>
              <to>
                <xdr:col>4</xdr:col>
                <xdr:colOff>38100</xdr:colOff>
                <xdr:row>108</xdr:row>
                <xdr:rowOff>95250</xdr:rowOff>
              </to>
            </anchor>
          </objectPr>
        </oleObject>
      </mc:Choice>
      <mc:Fallback>
        <oleObject progId="Word.Picture.8" shapeId="9220" r:id="rId6"/>
      </mc:Fallback>
    </mc:AlternateContent>
    <mc:AlternateContent xmlns:mc="http://schemas.openxmlformats.org/markup-compatibility/2006">
      <mc:Choice Requires="x14">
        <oleObject progId="Word.Picture.8" shapeId="9223" r:id="rId7">
          <objectPr defaultSize="0" autoPict="0" r:id="rId5">
            <anchor moveWithCells="1" sizeWithCells="1">
              <from>
                <xdr:col>1</xdr:col>
                <xdr:colOff>0</xdr:colOff>
                <xdr:row>51</xdr:row>
                <xdr:rowOff>142875</xdr:rowOff>
              </from>
              <to>
                <xdr:col>1</xdr:col>
                <xdr:colOff>0</xdr:colOff>
                <xdr:row>53</xdr:row>
                <xdr:rowOff>171450</xdr:rowOff>
              </to>
            </anchor>
          </objectPr>
        </oleObject>
      </mc:Choice>
      <mc:Fallback>
        <oleObject progId="Word.Picture.8" shapeId="9223" r:id="rId7"/>
      </mc:Fallback>
    </mc:AlternateContent>
    <mc:AlternateContent xmlns:mc="http://schemas.openxmlformats.org/markup-compatibility/2006">
      <mc:Choice Requires="x14">
        <oleObject progId="Word.Picture.8" shapeId="9224" r:id="rId8">
          <objectPr defaultSize="0" autoPict="0" r:id="rId5">
            <anchor moveWithCells="1" sizeWithCells="1">
              <from>
                <xdr:col>2</xdr:col>
                <xdr:colOff>771525</xdr:colOff>
                <xdr:row>51</xdr:row>
                <xdr:rowOff>57150</xdr:rowOff>
              </from>
              <to>
                <xdr:col>4</xdr:col>
                <xdr:colOff>38100</xdr:colOff>
                <xdr:row>55</xdr:row>
                <xdr:rowOff>0</xdr:rowOff>
              </to>
            </anchor>
          </objectPr>
        </oleObject>
      </mc:Choice>
      <mc:Fallback>
        <oleObject progId="Word.Picture.8" shapeId="9224" r:id="rId8"/>
      </mc:Fallback>
    </mc:AlternateContent>
    <mc:AlternateContent xmlns:mc="http://schemas.openxmlformats.org/markup-compatibility/2006">
      <mc:Choice Requires="x14">
        <oleObject progId="Word.Picture.8" shapeId="9227" r:id="rId9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9525</xdr:rowOff>
              </from>
              <to>
                <xdr:col>1</xdr:col>
                <xdr:colOff>0</xdr:colOff>
                <xdr:row>3</xdr:row>
                <xdr:rowOff>9525</xdr:rowOff>
              </to>
            </anchor>
          </objectPr>
        </oleObject>
      </mc:Choice>
      <mc:Fallback>
        <oleObject progId="Word.Picture.8" shapeId="9227" r:id="rId9"/>
      </mc:Fallback>
    </mc:AlternateContent>
    <mc:AlternateContent xmlns:mc="http://schemas.openxmlformats.org/markup-compatibility/2006">
      <mc:Choice Requires="x14">
        <oleObject progId="Word.Picture.8" shapeId="9228" r:id="rId10">
          <objectPr defaultSize="0" autoPict="0" r:id="rId5">
            <anchor moveWithCells="1" sizeWithCells="1">
              <from>
                <xdr:col>2</xdr:col>
                <xdr:colOff>771525</xdr:colOff>
                <xdr:row>0</xdr:row>
                <xdr:rowOff>85725</xdr:rowOff>
              </from>
              <to>
                <xdr:col>4</xdr:col>
                <xdr:colOff>38100</xdr:colOff>
                <xdr:row>4</xdr:row>
                <xdr:rowOff>38100</xdr:rowOff>
              </to>
            </anchor>
          </objectPr>
        </oleObject>
      </mc:Choice>
      <mc:Fallback>
        <oleObject progId="Word.Picture.8" shapeId="9228" r:id="rId10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>
    <tabColor rgb="FF92D050"/>
  </sheetPr>
  <dimension ref="A2:J156"/>
  <sheetViews>
    <sheetView zoomScale="90" zoomScaleNormal="90" workbookViewId="0">
      <selection activeCell="A12" sqref="A12"/>
    </sheetView>
  </sheetViews>
  <sheetFormatPr baseColWidth="10" defaultRowHeight="14.25" x14ac:dyDescent="0.2"/>
  <cols>
    <col min="1" max="1" width="29.875" customWidth="1"/>
    <col min="2" max="2" width="7.875" customWidth="1"/>
    <col min="3" max="3" width="11.75" customWidth="1"/>
    <col min="4" max="4" width="11" customWidth="1"/>
    <col min="5" max="5" width="10.75" customWidth="1"/>
    <col min="6" max="6" width="12.75" customWidth="1"/>
    <col min="7" max="8" width="7.125" customWidth="1"/>
    <col min="9" max="10" width="10.75" customWidth="1"/>
    <col min="11" max="16" width="7.75" customWidth="1"/>
    <col min="17" max="17" width="6.25" customWidth="1"/>
    <col min="18" max="18" width="8.75" customWidth="1"/>
    <col min="19" max="19" width="10.375" customWidth="1"/>
  </cols>
  <sheetData>
    <row r="2" spans="1:10" ht="15.75" x14ac:dyDescent="0.3">
      <c r="A2" s="472" t="s">
        <v>178</v>
      </c>
    </row>
    <row r="3" spans="1:10" ht="15.75" x14ac:dyDescent="0.3">
      <c r="A3" s="472" t="s">
        <v>217</v>
      </c>
    </row>
    <row r="5" spans="1:10" ht="18" x14ac:dyDescent="0.25">
      <c r="A5" s="1" t="s">
        <v>83</v>
      </c>
    </row>
    <row r="6" spans="1:10" ht="15" x14ac:dyDescent="0.25">
      <c r="A6" s="2" t="s">
        <v>0</v>
      </c>
      <c r="B6" s="11" t="str">
        <f>'Deckungsbeitrag Arbeitsgänge'!$B$6</f>
        <v>Schwarze Johannisbeere, Ben Alder, Industrieware</v>
      </c>
      <c r="C6" s="11"/>
      <c r="D6" s="11"/>
      <c r="E6" s="11"/>
      <c r="F6" s="100"/>
      <c r="G6" s="99"/>
      <c r="H6" s="99"/>
    </row>
    <row r="7" spans="1:10" ht="15" x14ac:dyDescent="0.25">
      <c r="B7" s="11">
        <f>'Deckungsbeitrag Arbeitsgänge'!$B$7</f>
        <v>0</v>
      </c>
      <c r="C7" s="11"/>
      <c r="D7" s="13"/>
      <c r="E7" s="11"/>
      <c r="F7" s="99"/>
      <c r="G7" s="99"/>
      <c r="H7" s="99"/>
    </row>
    <row r="8" spans="1:10" x14ac:dyDescent="0.2">
      <c r="B8" s="55"/>
      <c r="C8" s="13"/>
      <c r="D8" s="13"/>
      <c r="E8" s="13"/>
      <c r="F8" s="99"/>
      <c r="G8" s="99"/>
      <c r="H8" s="99"/>
      <c r="I8" s="99"/>
    </row>
    <row r="9" spans="1:10" ht="15" x14ac:dyDescent="0.25">
      <c r="A9" t="s">
        <v>1</v>
      </c>
      <c r="B9" s="11" t="str">
        <f>'Deckungsbeitrag Arbeitsgänge'!K6</f>
        <v>Ertragsphase</v>
      </c>
      <c r="C9" s="13"/>
      <c r="F9" s="99"/>
      <c r="G9" s="99"/>
      <c r="H9" s="99"/>
    </row>
    <row r="10" spans="1:10" ht="15" thickBot="1" x14ac:dyDescent="0.25">
      <c r="A10" t="s">
        <v>30</v>
      </c>
      <c r="B10">
        <v>1</v>
      </c>
      <c r="C10" t="s">
        <v>73</v>
      </c>
    </row>
    <row r="11" spans="1:10" ht="15" x14ac:dyDescent="0.25">
      <c r="A11" s="121" t="s">
        <v>75</v>
      </c>
      <c r="B11" s="49" t="s">
        <v>29</v>
      </c>
      <c r="C11" s="49" t="s">
        <v>76</v>
      </c>
      <c r="D11" s="112" t="s">
        <v>84</v>
      </c>
      <c r="E11" s="49" t="s">
        <v>32</v>
      </c>
      <c r="F11" s="113" t="s">
        <v>77</v>
      </c>
      <c r="G11" s="52"/>
      <c r="H11" s="52"/>
      <c r="I11" s="52"/>
      <c r="J11" s="52"/>
    </row>
    <row r="12" spans="1:10" ht="14.45" x14ac:dyDescent="0.25">
      <c r="A12" s="446" t="s">
        <v>294</v>
      </c>
      <c r="B12" s="447" t="s">
        <v>31</v>
      </c>
      <c r="C12" s="448">
        <v>7500</v>
      </c>
      <c r="D12" s="449">
        <v>0.107</v>
      </c>
      <c r="E12" s="450">
        <v>0.4</v>
      </c>
      <c r="F12" s="116">
        <f>C12*E12*(1+D12)</f>
        <v>3321</v>
      </c>
      <c r="H12" s="52"/>
      <c r="I12" s="52"/>
      <c r="J12" s="52"/>
    </row>
    <row r="13" spans="1:10" ht="14.45" x14ac:dyDescent="0.25">
      <c r="A13" s="451"/>
      <c r="B13" s="452"/>
      <c r="C13" s="453"/>
      <c r="D13" s="454"/>
      <c r="E13" s="455"/>
      <c r="F13" s="119">
        <f t="shared" ref="F13:F15" si="0">C13*E13*(1+D13)</f>
        <v>0</v>
      </c>
      <c r="G13" s="52"/>
      <c r="H13" s="52"/>
      <c r="I13" s="52"/>
      <c r="J13" s="52"/>
    </row>
    <row r="14" spans="1:10" x14ac:dyDescent="0.2">
      <c r="A14" s="451"/>
      <c r="B14" s="452"/>
      <c r="C14" s="452"/>
      <c r="D14" s="454"/>
      <c r="E14" s="455"/>
      <c r="F14" s="119">
        <f t="shared" si="0"/>
        <v>0</v>
      </c>
      <c r="G14" s="106"/>
      <c r="H14" s="106"/>
      <c r="I14" s="107"/>
      <c r="J14" s="107"/>
    </row>
    <row r="15" spans="1:10" x14ac:dyDescent="0.2">
      <c r="A15" s="456"/>
      <c r="B15" s="457"/>
      <c r="C15" s="457"/>
      <c r="D15" s="458"/>
      <c r="E15" s="459"/>
      <c r="F15" s="120">
        <f t="shared" si="0"/>
        <v>0</v>
      </c>
      <c r="G15" s="106"/>
      <c r="H15" s="106"/>
      <c r="I15" s="107"/>
      <c r="J15" s="107"/>
    </row>
    <row r="16" spans="1:10" ht="15.75" thickBot="1" x14ac:dyDescent="0.3">
      <c r="A16" s="38" t="s">
        <v>78</v>
      </c>
      <c r="B16" s="114"/>
      <c r="C16" s="114"/>
      <c r="D16" s="114"/>
      <c r="E16" s="115"/>
      <c r="F16" s="130">
        <f>SUM(F12:F15)</f>
        <v>3321</v>
      </c>
      <c r="G16" s="106"/>
      <c r="H16" s="106"/>
      <c r="I16" s="107"/>
      <c r="J16" s="107"/>
    </row>
    <row r="17" spans="1:10" ht="15" thickBot="1" x14ac:dyDescent="0.25">
      <c r="A17" s="51"/>
      <c r="B17" s="52"/>
      <c r="C17" s="52"/>
      <c r="D17" s="52"/>
      <c r="E17" s="104"/>
      <c r="F17" s="110"/>
      <c r="G17" s="106"/>
      <c r="H17" s="106"/>
      <c r="I17" s="107"/>
      <c r="J17" s="107"/>
    </row>
    <row r="18" spans="1:10" ht="15" x14ac:dyDescent="0.25">
      <c r="A18" s="121" t="s">
        <v>79</v>
      </c>
      <c r="B18" s="49" t="s">
        <v>29</v>
      </c>
      <c r="C18" s="49" t="s">
        <v>76</v>
      </c>
      <c r="D18" s="49" t="s">
        <v>84</v>
      </c>
      <c r="E18" s="124" t="s">
        <v>32</v>
      </c>
      <c r="F18" s="125" t="s">
        <v>77</v>
      </c>
      <c r="G18" s="106"/>
      <c r="H18" s="106"/>
      <c r="I18" s="107"/>
      <c r="J18" s="107"/>
    </row>
    <row r="19" spans="1:10" x14ac:dyDescent="0.2">
      <c r="A19" s="476" t="s">
        <v>306</v>
      </c>
      <c r="B19" s="447" t="s">
        <v>307</v>
      </c>
      <c r="C19" s="452">
        <v>1</v>
      </c>
      <c r="D19" s="454">
        <v>0.19</v>
      </c>
      <c r="E19" s="455">
        <v>220</v>
      </c>
      <c r="F19" s="119">
        <f>C19*E19*(1+D19)</f>
        <v>261.8</v>
      </c>
      <c r="G19" s="106"/>
      <c r="H19" s="106"/>
      <c r="I19" s="107"/>
      <c r="J19" s="107"/>
    </row>
    <row r="20" spans="1:10" x14ac:dyDescent="0.2">
      <c r="A20" s="474" t="s">
        <v>215</v>
      </c>
      <c r="B20" s="117"/>
      <c r="C20" s="117"/>
      <c r="D20" s="487">
        <v>0.19</v>
      </c>
      <c r="E20" s="118">
        <f>'Deckungsbeitrag Pflanzenschutz'!I50</f>
        <v>579.31500000000005</v>
      </c>
      <c r="F20" s="119">
        <f>E20*(1+D20)</f>
        <v>689.38485000000003</v>
      </c>
      <c r="G20" s="106"/>
      <c r="H20" s="106"/>
      <c r="I20" s="107"/>
      <c r="J20" s="107"/>
    </row>
    <row r="21" spans="1:10" x14ac:dyDescent="0.2">
      <c r="A21" s="474" t="s">
        <v>156</v>
      </c>
      <c r="B21" s="117"/>
      <c r="C21" s="117"/>
      <c r="D21" s="487">
        <v>0.19</v>
      </c>
      <c r="E21" s="118">
        <f>'Deckungsbeitrag Arbeitsgänge'!N39</f>
        <v>1295.6500000000001</v>
      </c>
      <c r="F21" s="119">
        <f>E21*(1+D21)</f>
        <v>1541.8235</v>
      </c>
      <c r="G21" s="106"/>
      <c r="H21" s="106"/>
      <c r="I21" s="107"/>
      <c r="J21" s="107"/>
    </row>
    <row r="22" spans="1:10" x14ac:dyDescent="0.2">
      <c r="A22" s="474" t="s">
        <v>102</v>
      </c>
      <c r="B22" s="117" t="s">
        <v>87</v>
      </c>
      <c r="C22" s="131">
        <f>'Deckungsbeitrag Arbeitsgänge'!C39</f>
        <v>6</v>
      </c>
      <c r="D22" s="137"/>
      <c r="E22" s="477">
        <f>Ertragsgrenzen!B21</f>
        <v>14</v>
      </c>
      <c r="F22" s="119">
        <f>C22*E22</f>
        <v>84</v>
      </c>
      <c r="G22" s="106"/>
      <c r="H22" s="106"/>
      <c r="I22" s="107"/>
      <c r="J22" s="107"/>
    </row>
    <row r="23" spans="1:10" ht="15" thickBot="1" x14ac:dyDescent="0.25">
      <c r="A23" s="474" t="s">
        <v>154</v>
      </c>
      <c r="B23" s="452"/>
      <c r="C23" s="452"/>
      <c r="D23" s="454"/>
      <c r="E23" s="462"/>
      <c r="F23" s="119">
        <f t="shared" ref="F23" si="1">C23*E23*(1+D23)</f>
        <v>0</v>
      </c>
      <c r="G23" s="106"/>
      <c r="H23" s="106"/>
      <c r="I23" s="107"/>
      <c r="J23" s="107"/>
    </row>
    <row r="24" spans="1:10" ht="15" thickBot="1" x14ac:dyDescent="0.25">
      <c r="A24" s="561" t="s">
        <v>229</v>
      </c>
      <c r="B24" s="562"/>
      <c r="C24" s="560" t="s">
        <v>216</v>
      </c>
      <c r="D24" s="560"/>
      <c r="E24" s="478">
        <f>'Einzelkosten Vollertrag'!D33</f>
        <v>0.02</v>
      </c>
      <c r="F24" s="119">
        <f>E24*(SUM('Investitionskosten Anlage'!D16:D22)+SUM('Investitionskosten Anlage'!D27:D28))</f>
        <v>3.1</v>
      </c>
      <c r="G24" s="106"/>
      <c r="H24" s="106"/>
      <c r="I24" s="107"/>
      <c r="J24" s="107"/>
    </row>
    <row r="25" spans="1:10" x14ac:dyDescent="0.2">
      <c r="A25" s="451" t="s">
        <v>166</v>
      </c>
      <c r="B25" s="117" t="s">
        <v>214</v>
      </c>
      <c r="C25" s="452">
        <f>(C12+C13)/0.25</f>
        <v>30000</v>
      </c>
      <c r="D25" s="454">
        <v>0.19</v>
      </c>
      <c r="E25" s="465"/>
      <c r="F25" s="119">
        <f t="shared" ref="F25:F26" si="2">C25*E25*(1+D25)</f>
        <v>0</v>
      </c>
      <c r="G25" s="106"/>
      <c r="H25" s="106"/>
      <c r="I25" s="107"/>
      <c r="J25" s="107"/>
    </row>
    <row r="26" spans="1:10" ht="15" thickBot="1" x14ac:dyDescent="0.25">
      <c r="A26" s="451" t="s">
        <v>167</v>
      </c>
      <c r="B26" s="117" t="s">
        <v>214</v>
      </c>
      <c r="C26" s="452">
        <f>C25/16</f>
        <v>1875</v>
      </c>
      <c r="D26" s="454">
        <v>0.19</v>
      </c>
      <c r="E26" s="462"/>
      <c r="F26" s="119">
        <f t="shared" si="2"/>
        <v>0</v>
      </c>
      <c r="G26" s="106"/>
      <c r="H26" s="106"/>
      <c r="I26" s="107"/>
      <c r="J26" s="107"/>
    </row>
    <row r="27" spans="1:10" ht="15" thickBot="1" x14ac:dyDescent="0.25">
      <c r="A27" s="474" t="s">
        <v>104</v>
      </c>
      <c r="B27" s="475"/>
      <c r="C27" s="556" t="s">
        <v>216</v>
      </c>
      <c r="D27" s="557"/>
      <c r="E27" s="473"/>
      <c r="F27" s="119">
        <f>E27*F16</f>
        <v>0</v>
      </c>
      <c r="G27" s="106"/>
      <c r="H27" s="106"/>
      <c r="I27" s="107"/>
      <c r="J27" s="107"/>
    </row>
    <row r="28" spans="1:10" x14ac:dyDescent="0.2">
      <c r="A28" s="474" t="s">
        <v>105</v>
      </c>
      <c r="B28" s="463" t="s">
        <v>106</v>
      </c>
      <c r="C28" s="479">
        <f>'Einzelkosten Vollertrag'!C21</f>
        <v>0</v>
      </c>
      <c r="D28" s="454">
        <v>0.19</v>
      </c>
      <c r="E28" s="480">
        <f>'Einzelkosten Vollertrag'!D21</f>
        <v>0</v>
      </c>
      <c r="F28" s="119">
        <f t="shared" ref="F28:F36" si="3">C28*E28*(1+D28)</f>
        <v>0</v>
      </c>
      <c r="G28" s="106"/>
      <c r="H28" s="106"/>
      <c r="I28" s="107"/>
      <c r="J28" s="107"/>
    </row>
    <row r="29" spans="1:10" x14ac:dyDescent="0.2">
      <c r="A29" s="474" t="s">
        <v>226</v>
      </c>
      <c r="B29" s="452" t="s">
        <v>31</v>
      </c>
      <c r="C29" s="453">
        <f>C12</f>
        <v>7500</v>
      </c>
      <c r="D29" s="460"/>
      <c r="E29" s="477">
        <f>'Einzelkosten Vollertrag'!D42</f>
        <v>0.05</v>
      </c>
      <c r="F29" s="119">
        <f>C29*E29</f>
        <v>375</v>
      </c>
      <c r="G29" s="106"/>
      <c r="H29" s="106"/>
      <c r="I29" s="107"/>
      <c r="J29" s="107"/>
    </row>
    <row r="30" spans="1:10" x14ac:dyDescent="0.2">
      <c r="A30" s="474" t="s">
        <v>227</v>
      </c>
      <c r="B30" s="452" t="s">
        <v>228</v>
      </c>
      <c r="C30" s="453">
        <f>'Einzelkosten Vollertrag'!C40</f>
        <v>0</v>
      </c>
      <c r="D30" s="460"/>
      <c r="E30" s="477">
        <f>'Einzelkosten Vollertrag'!D40</f>
        <v>0.04</v>
      </c>
      <c r="F30" s="119">
        <f>C30*E30</f>
        <v>0</v>
      </c>
      <c r="G30" s="106"/>
      <c r="H30" s="106"/>
      <c r="I30" s="107"/>
      <c r="J30" s="107"/>
    </row>
    <row r="31" spans="1:10" x14ac:dyDescent="0.2">
      <c r="A31" s="451" t="s">
        <v>293</v>
      </c>
      <c r="B31" s="452"/>
      <c r="C31" s="466">
        <v>1</v>
      </c>
      <c r="D31" s="454"/>
      <c r="E31" s="455">
        <v>100</v>
      </c>
      <c r="F31" s="484">
        <f t="shared" si="3"/>
        <v>100</v>
      </c>
      <c r="H31" s="106"/>
      <c r="I31" s="107"/>
      <c r="J31" s="107"/>
    </row>
    <row r="32" spans="1:10" x14ac:dyDescent="0.2">
      <c r="A32" s="451" t="s">
        <v>309</v>
      </c>
      <c r="B32" s="452" t="s">
        <v>31</v>
      </c>
      <c r="C32" s="467">
        <v>200</v>
      </c>
      <c r="D32" s="454">
        <v>0.19</v>
      </c>
      <c r="E32" s="455">
        <v>0.18</v>
      </c>
      <c r="F32" s="484">
        <f t="shared" si="3"/>
        <v>42.839999999999996</v>
      </c>
      <c r="G32" s="106"/>
      <c r="H32" s="106"/>
      <c r="I32" s="107"/>
      <c r="J32" s="107"/>
    </row>
    <row r="33" spans="1:10" x14ac:dyDescent="0.2">
      <c r="A33" s="451"/>
      <c r="B33" s="460"/>
      <c r="C33" s="452"/>
      <c r="D33" s="454"/>
      <c r="E33" s="455"/>
      <c r="F33" s="484">
        <f t="shared" si="3"/>
        <v>0</v>
      </c>
      <c r="G33" s="106"/>
      <c r="H33" s="106"/>
      <c r="I33" s="107"/>
      <c r="J33" s="107"/>
    </row>
    <row r="34" spans="1:10" x14ac:dyDescent="0.2">
      <c r="A34" s="451"/>
      <c r="B34" s="452"/>
      <c r="C34" s="452"/>
      <c r="D34" s="454"/>
      <c r="E34" s="455"/>
      <c r="F34" s="484">
        <f t="shared" si="3"/>
        <v>0</v>
      </c>
      <c r="G34" s="106"/>
      <c r="H34" s="106"/>
      <c r="I34" s="107"/>
      <c r="J34" s="107"/>
    </row>
    <row r="35" spans="1:10" ht="14.45" x14ac:dyDescent="0.25">
      <c r="A35" s="451"/>
      <c r="B35" s="452"/>
      <c r="C35" s="452"/>
      <c r="D35" s="454"/>
      <c r="E35" s="455"/>
      <c r="F35" s="484">
        <f t="shared" si="3"/>
        <v>0</v>
      </c>
      <c r="G35" s="106"/>
      <c r="H35" s="106"/>
      <c r="I35" s="107"/>
      <c r="J35" s="107"/>
    </row>
    <row r="36" spans="1:10" x14ac:dyDescent="0.2">
      <c r="A36" s="456"/>
      <c r="B36" s="457"/>
      <c r="C36" s="457"/>
      <c r="D36" s="458"/>
      <c r="E36" s="459"/>
      <c r="F36" s="485">
        <f t="shared" si="3"/>
        <v>0</v>
      </c>
      <c r="G36" s="106"/>
      <c r="H36" s="106"/>
      <c r="I36" s="107"/>
      <c r="J36" s="107"/>
    </row>
    <row r="37" spans="1:10" ht="15" x14ac:dyDescent="0.25">
      <c r="A37" s="122" t="s">
        <v>80</v>
      </c>
      <c r="B37" s="41"/>
      <c r="C37" s="41"/>
      <c r="D37" s="41"/>
      <c r="E37" s="123"/>
      <c r="F37" s="153">
        <f>SUM(F19:F36)</f>
        <v>3097.9483500000001</v>
      </c>
      <c r="G37" s="106"/>
      <c r="H37" s="106"/>
      <c r="I37" s="107"/>
      <c r="J37" s="107"/>
    </row>
    <row r="38" spans="1:10" x14ac:dyDescent="0.2">
      <c r="A38" s="122" t="s">
        <v>81</v>
      </c>
      <c r="B38" s="41"/>
      <c r="C38" s="468">
        <v>0.02</v>
      </c>
      <c r="D38" s="41"/>
      <c r="E38" s="123"/>
      <c r="F38" s="126">
        <f>F37*C38</f>
        <v>61.958967000000001</v>
      </c>
      <c r="G38" s="106"/>
      <c r="H38" s="106"/>
      <c r="I38" s="107"/>
      <c r="J38" s="107"/>
    </row>
    <row r="39" spans="1:10" ht="15.75" thickBot="1" x14ac:dyDescent="0.3">
      <c r="A39" s="38" t="s">
        <v>82</v>
      </c>
      <c r="B39" s="114"/>
      <c r="C39" s="114"/>
      <c r="D39" s="114"/>
      <c r="E39" s="36"/>
      <c r="F39" s="130">
        <f>SUM(F37:F38)</f>
        <v>3159.9073170000001</v>
      </c>
      <c r="G39" s="106"/>
      <c r="H39" s="106"/>
      <c r="I39" s="107"/>
      <c r="J39" s="107"/>
    </row>
    <row r="40" spans="1:10" ht="14.45" thickBot="1" x14ac:dyDescent="0.3">
      <c r="A40" s="51"/>
      <c r="B40" s="52"/>
      <c r="C40" s="52"/>
      <c r="D40" s="52"/>
      <c r="E40" s="104"/>
      <c r="F40" s="111"/>
      <c r="G40" s="106"/>
      <c r="H40" s="106"/>
      <c r="I40" s="107"/>
      <c r="J40" s="107"/>
    </row>
    <row r="41" spans="1:10" ht="13.9" x14ac:dyDescent="0.25">
      <c r="A41" s="121" t="s">
        <v>83</v>
      </c>
      <c r="B41" s="49"/>
      <c r="C41" s="49"/>
      <c r="D41" s="49"/>
      <c r="E41" s="124"/>
      <c r="F41" s="127">
        <f>F16-F39</f>
        <v>161.09268299999985</v>
      </c>
      <c r="G41" s="106"/>
      <c r="H41" s="106"/>
      <c r="I41" s="107"/>
      <c r="J41" s="107"/>
    </row>
    <row r="42" spans="1:10" ht="15.75" thickBot="1" x14ac:dyDescent="0.3">
      <c r="A42" s="128" t="s">
        <v>85</v>
      </c>
      <c r="B42" s="114"/>
      <c r="C42" s="114" t="s">
        <v>86</v>
      </c>
      <c r="D42" s="36"/>
      <c r="E42" s="129"/>
      <c r="F42" s="130">
        <f>F16-F37</f>
        <v>223.05164999999988</v>
      </c>
      <c r="G42" s="106"/>
      <c r="H42" s="106"/>
      <c r="I42" s="107"/>
      <c r="J42" s="107"/>
    </row>
    <row r="43" spans="1:10" ht="13.9" x14ac:dyDescent="0.25">
      <c r="A43" s="52"/>
      <c r="B43" s="52"/>
      <c r="C43" s="52"/>
      <c r="D43" s="104"/>
      <c r="E43" s="105"/>
      <c r="F43" s="104"/>
      <c r="G43" s="106"/>
      <c r="H43" s="106"/>
      <c r="I43" s="107"/>
      <c r="J43" s="107"/>
    </row>
    <row r="44" spans="1:10" ht="13.9" x14ac:dyDescent="0.25">
      <c r="B44" s="52"/>
      <c r="C44" s="52"/>
      <c r="D44" s="104"/>
      <c r="E44" s="105"/>
      <c r="F44" s="104"/>
      <c r="G44" s="106"/>
      <c r="H44" s="106"/>
      <c r="I44" s="107"/>
      <c r="J44" s="107"/>
    </row>
    <row r="45" spans="1:10" ht="13.9" x14ac:dyDescent="0.25">
      <c r="A45" s="52"/>
      <c r="B45" s="52"/>
      <c r="C45" s="52"/>
      <c r="D45" s="104"/>
      <c r="E45" s="105"/>
      <c r="F45" s="104"/>
      <c r="G45" s="106"/>
      <c r="H45" s="106"/>
      <c r="I45" s="107"/>
      <c r="J45" s="107"/>
    </row>
    <row r="46" spans="1:10" x14ac:dyDescent="0.2">
      <c r="A46" s="52"/>
      <c r="B46" s="52"/>
      <c r="C46" s="52"/>
      <c r="D46" s="104"/>
      <c r="E46" s="105"/>
      <c r="F46" s="104"/>
      <c r="G46" s="106"/>
      <c r="H46" s="106"/>
      <c r="I46" s="107"/>
      <c r="J46" s="107"/>
    </row>
    <row r="47" spans="1:10" x14ac:dyDescent="0.2">
      <c r="A47" s="52"/>
      <c r="B47" s="52"/>
      <c r="C47" s="52"/>
      <c r="D47" s="104"/>
      <c r="E47" s="105"/>
      <c r="F47" s="104"/>
      <c r="G47" s="106"/>
      <c r="H47" s="106"/>
      <c r="I47" s="107"/>
      <c r="J47" s="107"/>
    </row>
    <row r="48" spans="1:10" x14ac:dyDescent="0.2">
      <c r="A48" s="52"/>
      <c r="B48" s="52"/>
      <c r="C48" s="52"/>
      <c r="D48" s="104"/>
      <c r="E48" s="105"/>
      <c r="F48" s="104"/>
      <c r="G48" s="106"/>
      <c r="H48" s="106"/>
      <c r="I48" s="107"/>
      <c r="J48" s="107"/>
    </row>
    <row r="49" spans="1:10" x14ac:dyDescent="0.2">
      <c r="A49" s="52"/>
      <c r="B49" s="52"/>
      <c r="C49" s="52"/>
      <c r="D49" s="104"/>
      <c r="E49" s="105"/>
      <c r="F49" s="104"/>
      <c r="G49" s="106"/>
      <c r="H49" s="106"/>
      <c r="I49" s="107"/>
      <c r="J49" s="107"/>
    </row>
    <row r="50" spans="1:10" x14ac:dyDescent="0.2">
      <c r="A50" s="52"/>
      <c r="B50" s="52"/>
      <c r="C50" s="52"/>
      <c r="D50" s="104"/>
      <c r="E50" s="105"/>
      <c r="F50" s="104"/>
      <c r="G50" s="106"/>
      <c r="H50" s="106"/>
      <c r="I50" s="107"/>
      <c r="J50" s="107"/>
    </row>
    <row r="51" spans="1:10" x14ac:dyDescent="0.2">
      <c r="A51" s="52"/>
      <c r="B51" s="52"/>
      <c r="C51" s="52"/>
      <c r="D51" s="104"/>
      <c r="E51" s="105"/>
      <c r="F51" s="104"/>
      <c r="G51" s="106"/>
      <c r="H51" s="106"/>
      <c r="I51" s="107"/>
      <c r="J51" s="107"/>
    </row>
    <row r="52" spans="1:10" ht="15" x14ac:dyDescent="0.25">
      <c r="A52" s="108"/>
      <c r="B52" s="52"/>
      <c r="C52" s="52"/>
      <c r="D52" s="52"/>
      <c r="E52" s="52"/>
      <c r="F52" s="52"/>
      <c r="G52" s="52"/>
      <c r="H52" s="52"/>
      <c r="I52" s="107"/>
      <c r="J52" s="109"/>
    </row>
    <row r="53" spans="1:10" x14ac:dyDescent="0.2">
      <c r="A53" s="52"/>
      <c r="B53" s="52"/>
      <c r="C53" s="52"/>
      <c r="D53" s="52"/>
      <c r="E53" s="52"/>
      <c r="F53" s="52"/>
      <c r="G53" s="52"/>
      <c r="H53" s="52"/>
      <c r="I53" s="52"/>
      <c r="J53" s="52"/>
    </row>
    <row r="58" spans="1:10" ht="15.75" x14ac:dyDescent="0.3">
      <c r="A58" s="472" t="s">
        <v>178</v>
      </c>
    </row>
    <row r="59" spans="1:10" ht="15.75" x14ac:dyDescent="0.3">
      <c r="A59" s="472" t="s">
        <v>217</v>
      </c>
    </row>
    <row r="61" spans="1:10" ht="18" x14ac:dyDescent="0.25">
      <c r="A61" s="1" t="s">
        <v>83</v>
      </c>
    </row>
    <row r="62" spans="1:10" ht="15" x14ac:dyDescent="0.25">
      <c r="A62" s="2" t="s">
        <v>0</v>
      </c>
      <c r="B62" s="11" t="str">
        <f>'Deckungsbeitrag Arbeitsgänge'!$B$6</f>
        <v>Schwarze Johannisbeere, Ben Alder, Industrieware</v>
      </c>
      <c r="C62" s="11"/>
      <c r="D62" s="11"/>
      <c r="E62" s="11"/>
      <c r="F62" s="100"/>
    </row>
    <row r="63" spans="1:10" ht="15" x14ac:dyDescent="0.25">
      <c r="B63" s="11">
        <f>'Deckungsbeitrag Arbeitsgänge'!$B$7</f>
        <v>0</v>
      </c>
      <c r="C63" s="11"/>
      <c r="D63" s="13"/>
      <c r="E63" s="11"/>
      <c r="F63" s="99"/>
    </row>
    <row r="64" spans="1:10" x14ac:dyDescent="0.2">
      <c r="B64" s="55"/>
      <c r="C64" s="13"/>
      <c r="D64" s="13"/>
      <c r="E64" s="13"/>
      <c r="F64" s="99"/>
    </row>
    <row r="65" spans="1:6" ht="15" x14ac:dyDescent="0.25">
      <c r="A65" t="s">
        <v>1</v>
      </c>
      <c r="B65" s="11" t="str">
        <f>'Deckungsbeitrag Arbeitsgänge'!K47</f>
        <v>Junganlage</v>
      </c>
      <c r="C65" s="13"/>
      <c r="F65" s="99"/>
    </row>
    <row r="66" spans="1:6" ht="15" thickBot="1" x14ac:dyDescent="0.25">
      <c r="A66" t="s">
        <v>30</v>
      </c>
      <c r="B66">
        <v>1</v>
      </c>
      <c r="C66" t="s">
        <v>73</v>
      </c>
    </row>
    <row r="67" spans="1:6" ht="15" x14ac:dyDescent="0.25">
      <c r="A67" s="121" t="s">
        <v>75</v>
      </c>
      <c r="B67" s="49" t="s">
        <v>29</v>
      </c>
      <c r="C67" s="49" t="s">
        <v>76</v>
      </c>
      <c r="D67" s="112" t="s">
        <v>84</v>
      </c>
      <c r="E67" s="49" t="s">
        <v>32</v>
      </c>
      <c r="F67" s="113" t="s">
        <v>77</v>
      </c>
    </row>
    <row r="68" spans="1:6" x14ac:dyDescent="0.2">
      <c r="A68" s="446" t="s">
        <v>294</v>
      </c>
      <c r="B68" s="447" t="s">
        <v>31</v>
      </c>
      <c r="C68" s="469">
        <v>3000</v>
      </c>
      <c r="D68" s="470">
        <v>0.107</v>
      </c>
      <c r="E68" s="450">
        <v>0.4</v>
      </c>
      <c r="F68" s="116">
        <f>C68*E68*(1+D68)</f>
        <v>1328.4</v>
      </c>
    </row>
    <row r="69" spans="1:6" x14ac:dyDescent="0.2">
      <c r="A69" s="451"/>
      <c r="B69" s="452"/>
      <c r="C69" s="453"/>
      <c r="D69" s="454"/>
      <c r="E69" s="455"/>
      <c r="F69" s="119">
        <f t="shared" ref="F69:F71" si="4">C69*E69*(1+D69)</f>
        <v>0</v>
      </c>
    </row>
    <row r="70" spans="1:6" x14ac:dyDescent="0.2">
      <c r="A70" s="451"/>
      <c r="B70" s="452"/>
      <c r="C70" s="452"/>
      <c r="D70" s="454"/>
      <c r="E70" s="455"/>
      <c r="F70" s="119">
        <f t="shared" si="4"/>
        <v>0</v>
      </c>
    </row>
    <row r="71" spans="1:6" x14ac:dyDescent="0.2">
      <c r="A71" s="456"/>
      <c r="B71" s="457"/>
      <c r="C71" s="457"/>
      <c r="D71" s="458"/>
      <c r="E71" s="459"/>
      <c r="F71" s="120">
        <f t="shared" si="4"/>
        <v>0</v>
      </c>
    </row>
    <row r="72" spans="1:6" ht="15.75" thickBot="1" x14ac:dyDescent="0.3">
      <c r="A72" s="38" t="s">
        <v>78</v>
      </c>
      <c r="B72" s="114"/>
      <c r="C72" s="114"/>
      <c r="D72" s="114"/>
      <c r="E72" s="115"/>
      <c r="F72" s="130">
        <f>SUM(F68:F71)</f>
        <v>1328.4</v>
      </c>
    </row>
    <row r="73" spans="1:6" ht="15" thickBot="1" x14ac:dyDescent="0.25">
      <c r="A73" s="51"/>
      <c r="B73" s="52"/>
      <c r="C73" s="52"/>
      <c r="D73" s="52"/>
      <c r="E73" s="104"/>
      <c r="F73" s="110"/>
    </row>
    <row r="74" spans="1:6" ht="15" x14ac:dyDescent="0.25">
      <c r="A74" s="121" t="s">
        <v>79</v>
      </c>
      <c r="B74" s="49" t="s">
        <v>29</v>
      </c>
      <c r="C74" s="49" t="s">
        <v>76</v>
      </c>
      <c r="D74" s="49" t="s">
        <v>84</v>
      </c>
      <c r="E74" s="124" t="s">
        <v>32</v>
      </c>
      <c r="F74" s="125" t="s">
        <v>77</v>
      </c>
    </row>
    <row r="75" spans="1:6" x14ac:dyDescent="0.2">
      <c r="A75" s="476" t="s">
        <v>306</v>
      </c>
      <c r="B75" s="447" t="s">
        <v>307</v>
      </c>
      <c r="C75" s="452">
        <v>1</v>
      </c>
      <c r="D75" s="454">
        <v>0.19</v>
      </c>
      <c r="E75" s="455">
        <v>220</v>
      </c>
      <c r="F75" s="119">
        <f>C75*E75*(1+D75)</f>
        <v>261.8</v>
      </c>
    </row>
    <row r="76" spans="1:6" x14ac:dyDescent="0.2">
      <c r="A76" s="474" t="s">
        <v>215</v>
      </c>
      <c r="B76" s="452"/>
      <c r="C76" s="117"/>
      <c r="D76" s="487">
        <v>0.19</v>
      </c>
      <c r="E76" s="118">
        <f>'Deckungsbeitrag Pflanzenschutz'!I101</f>
        <v>491.90500000000009</v>
      </c>
      <c r="F76" s="119">
        <f>E76*(1+D76)</f>
        <v>585.36695000000009</v>
      </c>
    </row>
    <row r="77" spans="1:6" x14ac:dyDescent="0.2">
      <c r="A77" s="474" t="s">
        <v>156</v>
      </c>
      <c r="B77" s="452"/>
      <c r="C77" s="117"/>
      <c r="D77" s="487">
        <v>0.19</v>
      </c>
      <c r="E77" s="118">
        <f>'Deckungsbeitrag Arbeitsgänge'!N77</f>
        <v>1012.1</v>
      </c>
      <c r="F77" s="119">
        <f>E77*(1+D77)</f>
        <v>1204.3989999999999</v>
      </c>
    </row>
    <row r="78" spans="1:6" x14ac:dyDescent="0.2">
      <c r="A78" s="474" t="s">
        <v>102</v>
      </c>
      <c r="B78" s="482" t="s">
        <v>87</v>
      </c>
      <c r="C78" s="483">
        <f>'Deckungsbeitrag Arbeitsgänge'!C77</f>
        <v>29</v>
      </c>
      <c r="D78" s="475"/>
      <c r="E78" s="477">
        <f>Ertragsgrenzen!B21</f>
        <v>14</v>
      </c>
      <c r="F78" s="119">
        <f>C78*E78</f>
        <v>406</v>
      </c>
    </row>
    <row r="79" spans="1:6" ht="15" thickBot="1" x14ac:dyDescent="0.25">
      <c r="A79" s="474" t="s">
        <v>154</v>
      </c>
      <c r="B79" s="452"/>
      <c r="C79" s="481"/>
      <c r="D79" s="488"/>
      <c r="E79" s="462"/>
      <c r="F79" s="119">
        <f t="shared" ref="F79" si="5">C79*E79*(1+D79)</f>
        <v>0</v>
      </c>
    </row>
    <row r="80" spans="1:6" ht="15" thickBot="1" x14ac:dyDescent="0.25">
      <c r="A80" s="561" t="s">
        <v>229</v>
      </c>
      <c r="B80" s="562"/>
      <c r="C80" s="560" t="s">
        <v>216</v>
      </c>
      <c r="D80" s="560"/>
      <c r="E80" s="478">
        <f>'Einzelkosten Junganlage'!D33</f>
        <v>0.02</v>
      </c>
      <c r="F80" s="119">
        <f>(SUM('Investitionskosten Anlage'!D16:D22)+SUM('Investitionskosten Anlage'!D27:D28))*E80</f>
        <v>3.1</v>
      </c>
    </row>
    <row r="81" spans="1:6" x14ac:dyDescent="0.2">
      <c r="A81" s="451" t="s">
        <v>166</v>
      </c>
      <c r="B81" s="452" t="s">
        <v>214</v>
      </c>
      <c r="C81" s="452">
        <f>(C68+C69)/0.25</f>
        <v>12000</v>
      </c>
      <c r="D81" s="454"/>
      <c r="E81" s="465"/>
      <c r="F81" s="119">
        <f t="shared" ref="F81:F82" si="6">C81*E81*(1+D81)</f>
        <v>0</v>
      </c>
    </row>
    <row r="82" spans="1:6" ht="15" thickBot="1" x14ac:dyDescent="0.25">
      <c r="A82" s="451" t="s">
        <v>167</v>
      </c>
      <c r="B82" s="452" t="s">
        <v>214</v>
      </c>
      <c r="C82" s="452">
        <f>C81/16</f>
        <v>750</v>
      </c>
      <c r="D82" s="454"/>
      <c r="E82" s="462"/>
      <c r="F82" s="119">
        <f t="shared" si="6"/>
        <v>0</v>
      </c>
    </row>
    <row r="83" spans="1:6" ht="15" thickBot="1" x14ac:dyDescent="0.25">
      <c r="A83" s="474" t="s">
        <v>104</v>
      </c>
      <c r="B83" s="475"/>
      <c r="C83" s="556" t="s">
        <v>216</v>
      </c>
      <c r="D83" s="557"/>
      <c r="E83" s="473"/>
      <c r="F83" s="119">
        <f>E83*F72</f>
        <v>0</v>
      </c>
    </row>
    <row r="84" spans="1:6" x14ac:dyDescent="0.2">
      <c r="A84" s="474" t="s">
        <v>105</v>
      </c>
      <c r="B84" s="463" t="s">
        <v>106</v>
      </c>
      <c r="C84" s="464"/>
      <c r="D84" s="460"/>
      <c r="E84" s="465"/>
      <c r="F84" s="119">
        <f t="shared" ref="F84" si="7">C84*E84*(1+D84)</f>
        <v>0</v>
      </c>
    </row>
    <row r="85" spans="1:6" x14ac:dyDescent="0.2">
      <c r="A85" s="474" t="s">
        <v>226</v>
      </c>
      <c r="B85" s="452" t="s">
        <v>31</v>
      </c>
      <c r="C85" s="453">
        <f>C68</f>
        <v>3000</v>
      </c>
      <c r="D85" s="454"/>
      <c r="E85" s="477">
        <f>'Einzelkosten Junganlage'!D42</f>
        <v>0.05</v>
      </c>
      <c r="F85" s="119">
        <f t="shared" ref="F85" si="8">C85*E85*(1+D85)</f>
        <v>150</v>
      </c>
    </row>
    <row r="86" spans="1:6" x14ac:dyDescent="0.2">
      <c r="A86" s="451" t="s">
        <v>309</v>
      </c>
      <c r="B86" s="452" t="s">
        <v>31</v>
      </c>
      <c r="C86" s="467">
        <v>200</v>
      </c>
      <c r="D86" s="454">
        <v>0.19</v>
      </c>
      <c r="E86" s="455">
        <v>0.18</v>
      </c>
      <c r="F86" s="119">
        <f>C86*E86*(1+D86)</f>
        <v>42.839999999999996</v>
      </c>
    </row>
    <row r="87" spans="1:6" x14ac:dyDescent="0.2">
      <c r="A87" s="456" t="s">
        <v>293</v>
      </c>
      <c r="B87" s="457"/>
      <c r="C87" s="457">
        <v>1</v>
      </c>
      <c r="D87" s="458"/>
      <c r="E87" s="459">
        <v>40</v>
      </c>
      <c r="F87" s="485">
        <f t="shared" ref="F87" si="9">C87*E87*(1+D87)</f>
        <v>40</v>
      </c>
    </row>
    <row r="88" spans="1:6" ht="15" x14ac:dyDescent="0.25">
      <c r="A88" s="122" t="s">
        <v>80</v>
      </c>
      <c r="B88" s="41"/>
      <c r="C88" s="41"/>
      <c r="D88" s="41"/>
      <c r="E88" s="123"/>
      <c r="F88" s="153">
        <f>SUM(F75:F87)</f>
        <v>2693.5059500000002</v>
      </c>
    </row>
    <row r="89" spans="1:6" x14ac:dyDescent="0.2">
      <c r="A89" s="122" t="s">
        <v>81</v>
      </c>
      <c r="B89" s="41"/>
      <c r="C89" s="468">
        <v>0.02</v>
      </c>
      <c r="D89" s="41"/>
      <c r="E89" s="123"/>
      <c r="F89" s="126">
        <f>F88*C89</f>
        <v>53.870119000000003</v>
      </c>
    </row>
    <row r="90" spans="1:6" ht="15.75" thickBot="1" x14ac:dyDescent="0.3">
      <c r="A90" s="38" t="s">
        <v>82</v>
      </c>
      <c r="B90" s="114"/>
      <c r="C90" s="114"/>
      <c r="D90" s="114"/>
      <c r="E90" s="36"/>
      <c r="F90" s="130">
        <f>SUM(F88:F89)</f>
        <v>2747.3760690000004</v>
      </c>
    </row>
    <row r="91" spans="1:6" ht="15" thickBot="1" x14ac:dyDescent="0.25">
      <c r="A91" s="51"/>
      <c r="B91" s="52"/>
      <c r="C91" s="52"/>
      <c r="D91" s="52"/>
      <c r="E91" s="104"/>
      <c r="F91" s="111"/>
    </row>
    <row r="92" spans="1:6" ht="15" x14ac:dyDescent="0.25">
      <c r="A92" s="121" t="s">
        <v>83</v>
      </c>
      <c r="B92" s="49"/>
      <c r="C92" s="49"/>
      <c r="D92" s="49"/>
      <c r="E92" s="124"/>
      <c r="F92" s="127">
        <f>F72-F90</f>
        <v>-1418.9760690000003</v>
      </c>
    </row>
    <row r="93" spans="1:6" ht="15.75" thickBot="1" x14ac:dyDescent="0.3">
      <c r="A93" s="128" t="s">
        <v>85</v>
      </c>
      <c r="B93" s="114"/>
      <c r="C93" s="114" t="s">
        <v>86</v>
      </c>
      <c r="D93" s="36"/>
      <c r="E93" s="129"/>
      <c r="F93" s="130">
        <f>F72-F88</f>
        <v>-1365.1059500000001</v>
      </c>
    </row>
    <row r="109" spans="1:1" ht="15.75" x14ac:dyDescent="0.3">
      <c r="A109" s="472" t="s">
        <v>178</v>
      </c>
    </row>
    <row r="110" spans="1:1" ht="15.75" x14ac:dyDescent="0.3">
      <c r="A110" s="472" t="s">
        <v>217</v>
      </c>
    </row>
    <row r="112" spans="1:1" ht="18" x14ac:dyDescent="0.25">
      <c r="A112" s="1" t="s">
        <v>83</v>
      </c>
    </row>
    <row r="113" spans="1:6" ht="15" x14ac:dyDescent="0.25">
      <c r="A113" s="2" t="s">
        <v>0</v>
      </c>
      <c r="B113" s="11" t="str">
        <f>'Deckungsbeitrag Arbeitsgänge'!$B$6</f>
        <v>Schwarze Johannisbeere, Ben Alder, Industrieware</v>
      </c>
      <c r="C113" s="11"/>
      <c r="D113" s="11"/>
      <c r="E113" s="11"/>
      <c r="F113" s="100"/>
    </row>
    <row r="114" spans="1:6" ht="15" x14ac:dyDescent="0.25">
      <c r="B114" s="11">
        <f>'Deckungsbeitrag Arbeitsgänge'!$B$7</f>
        <v>0</v>
      </c>
      <c r="C114" s="11"/>
      <c r="D114" s="13"/>
      <c r="E114" s="11"/>
      <c r="F114" s="99"/>
    </row>
    <row r="115" spans="1:6" x14ac:dyDescent="0.2">
      <c r="B115" s="55"/>
      <c r="C115" s="13"/>
      <c r="D115" s="13"/>
      <c r="E115" s="13"/>
      <c r="F115" s="99"/>
    </row>
    <row r="116" spans="1:6" ht="15" x14ac:dyDescent="0.25">
      <c r="A116" t="s">
        <v>1</v>
      </c>
      <c r="B116" s="11" t="str">
        <f>'Deckungsbeitrag Arbeitsgänge'!K85</f>
        <v>Neuanlage</v>
      </c>
      <c r="C116" s="13"/>
      <c r="F116" s="99"/>
    </row>
    <row r="117" spans="1:6" ht="15" thickBot="1" x14ac:dyDescent="0.25">
      <c r="A117" t="s">
        <v>30</v>
      </c>
      <c r="B117">
        <v>1</v>
      </c>
      <c r="C117" t="s">
        <v>73</v>
      </c>
    </row>
    <row r="118" spans="1:6" ht="15" x14ac:dyDescent="0.25">
      <c r="A118" s="121" t="s">
        <v>75</v>
      </c>
      <c r="B118" s="49" t="s">
        <v>29</v>
      </c>
      <c r="C118" s="49" t="s">
        <v>76</v>
      </c>
      <c r="D118" s="112" t="s">
        <v>84</v>
      </c>
      <c r="E118" s="49" t="s">
        <v>32</v>
      </c>
      <c r="F118" s="113" t="s">
        <v>77</v>
      </c>
    </row>
    <row r="119" spans="1:6" x14ac:dyDescent="0.2">
      <c r="A119" s="446"/>
      <c r="B119" s="447" t="s">
        <v>31</v>
      </c>
      <c r="C119" s="448"/>
      <c r="D119" s="449"/>
      <c r="E119" s="461"/>
      <c r="F119" s="116">
        <f>C119*E119*(1+D119)</f>
        <v>0</v>
      </c>
    </row>
    <row r="120" spans="1:6" x14ac:dyDescent="0.2">
      <c r="A120" s="451"/>
      <c r="B120" s="452"/>
      <c r="C120" s="453"/>
      <c r="D120" s="454"/>
      <c r="E120" s="455"/>
      <c r="F120" s="119">
        <f t="shared" ref="F120:F122" si="10">C120*E120*(1+D120)</f>
        <v>0</v>
      </c>
    </row>
    <row r="121" spans="1:6" x14ac:dyDescent="0.2">
      <c r="A121" s="451"/>
      <c r="B121" s="452"/>
      <c r="C121" s="452"/>
      <c r="D121" s="454"/>
      <c r="E121" s="455"/>
      <c r="F121" s="119">
        <f t="shared" si="10"/>
        <v>0</v>
      </c>
    </row>
    <row r="122" spans="1:6" x14ac:dyDescent="0.2">
      <c r="A122" s="456"/>
      <c r="B122" s="457"/>
      <c r="C122" s="457"/>
      <c r="D122" s="458"/>
      <c r="E122" s="459"/>
      <c r="F122" s="120">
        <f t="shared" si="10"/>
        <v>0</v>
      </c>
    </row>
    <row r="123" spans="1:6" ht="15.75" thickBot="1" x14ac:dyDescent="0.3">
      <c r="A123" s="38" t="s">
        <v>78</v>
      </c>
      <c r="B123" s="114"/>
      <c r="C123" s="114"/>
      <c r="D123" s="114"/>
      <c r="E123" s="115"/>
      <c r="F123" s="130">
        <f>SUM(F119:F122)</f>
        <v>0</v>
      </c>
    </row>
    <row r="124" spans="1:6" ht="15" thickBot="1" x14ac:dyDescent="0.25">
      <c r="A124" s="51"/>
      <c r="B124" s="52"/>
      <c r="C124" s="52"/>
      <c r="D124" s="52"/>
      <c r="E124" s="104"/>
      <c r="F124" s="110"/>
    </row>
    <row r="125" spans="1:6" ht="15" x14ac:dyDescent="0.25">
      <c r="A125" s="121" t="s">
        <v>79</v>
      </c>
      <c r="B125" s="49" t="s">
        <v>29</v>
      </c>
      <c r="C125" s="49" t="s">
        <v>76</v>
      </c>
      <c r="D125" s="49" t="s">
        <v>84</v>
      </c>
      <c r="E125" s="124" t="s">
        <v>32</v>
      </c>
      <c r="F125" s="125" t="s">
        <v>77</v>
      </c>
    </row>
    <row r="126" spans="1:6" x14ac:dyDescent="0.2">
      <c r="A126" s="476" t="s">
        <v>306</v>
      </c>
      <c r="B126" s="447" t="s">
        <v>307</v>
      </c>
      <c r="C126" s="452">
        <v>1</v>
      </c>
      <c r="D126" s="454">
        <v>0.19</v>
      </c>
      <c r="E126" s="455">
        <v>220</v>
      </c>
      <c r="F126" s="116">
        <f>C126*E126*(1+D126)</f>
        <v>261.8</v>
      </c>
    </row>
    <row r="127" spans="1:6" x14ac:dyDescent="0.2">
      <c r="A127" s="474" t="s">
        <v>215</v>
      </c>
      <c r="B127" s="452"/>
      <c r="C127" s="117"/>
      <c r="D127" s="487">
        <v>0.19</v>
      </c>
      <c r="E127" s="118">
        <f>'Deckungsbeitrag Pflanzenschutz'!I157</f>
        <v>439.92500000000007</v>
      </c>
      <c r="F127" s="119">
        <f>E127*(1+D127)</f>
        <v>523.51075000000003</v>
      </c>
    </row>
    <row r="128" spans="1:6" x14ac:dyDescent="0.2">
      <c r="A128" s="474" t="s">
        <v>156</v>
      </c>
      <c r="B128" s="452"/>
      <c r="C128" s="117"/>
      <c r="D128" s="487">
        <v>0.19</v>
      </c>
      <c r="E128" s="118">
        <f>'Deckungsbeitrag Arbeitsgänge'!N117</f>
        <v>337.50000000000006</v>
      </c>
      <c r="F128" s="119">
        <f>E128*(1+D128)</f>
        <v>401.62500000000006</v>
      </c>
    </row>
    <row r="129" spans="1:6" x14ac:dyDescent="0.2">
      <c r="A129" s="474" t="s">
        <v>102</v>
      </c>
      <c r="B129" s="482" t="s">
        <v>87</v>
      </c>
      <c r="C129" s="483">
        <f>'Deckungsbeitrag Arbeitsgänge'!C117</f>
        <v>75</v>
      </c>
      <c r="D129" s="489"/>
      <c r="E129" s="477">
        <f>Ertragsgrenzen!B21</f>
        <v>14</v>
      </c>
      <c r="F129" s="119">
        <f>C129*E129</f>
        <v>1050</v>
      </c>
    </row>
    <row r="130" spans="1:6" x14ac:dyDescent="0.2">
      <c r="A130" s="474" t="s">
        <v>154</v>
      </c>
      <c r="B130" s="452"/>
      <c r="C130" s="452"/>
      <c r="D130" s="454"/>
      <c r="E130" s="455"/>
      <c r="F130" s="119">
        <f t="shared" ref="F130" si="11">C130*E130*(1+D130)</f>
        <v>0</v>
      </c>
    </row>
    <row r="131" spans="1:6" x14ac:dyDescent="0.2">
      <c r="A131" s="451" t="s">
        <v>166</v>
      </c>
      <c r="B131" s="452" t="s">
        <v>214</v>
      </c>
      <c r="C131" s="452">
        <f>(C119+C120)/0.25</f>
        <v>0</v>
      </c>
      <c r="D131" s="454"/>
      <c r="E131" s="455"/>
      <c r="F131" s="119">
        <f t="shared" ref="F131:F132" si="12">C131*E131*(1+D131)</f>
        <v>0</v>
      </c>
    </row>
    <row r="132" spans="1:6" ht="15" thickBot="1" x14ac:dyDescent="0.25">
      <c r="A132" s="451" t="s">
        <v>167</v>
      </c>
      <c r="B132" s="452" t="s">
        <v>214</v>
      </c>
      <c r="C132" s="452">
        <f>C131/16</f>
        <v>0</v>
      </c>
      <c r="D132" s="454"/>
      <c r="E132" s="462"/>
      <c r="F132" s="119">
        <f t="shared" si="12"/>
        <v>0</v>
      </c>
    </row>
    <row r="133" spans="1:6" ht="15" thickBot="1" x14ac:dyDescent="0.25">
      <c r="A133" s="451" t="s">
        <v>104</v>
      </c>
      <c r="B133" s="460"/>
      <c r="C133" s="558" t="s">
        <v>216</v>
      </c>
      <c r="D133" s="559"/>
      <c r="E133" s="473"/>
      <c r="F133" s="119">
        <f>E133*F123</f>
        <v>0</v>
      </c>
    </row>
    <row r="134" spans="1:6" x14ac:dyDescent="0.2">
      <c r="A134" s="451" t="s">
        <v>105</v>
      </c>
      <c r="B134" s="463" t="s">
        <v>106</v>
      </c>
      <c r="C134" s="464"/>
      <c r="D134" s="454"/>
      <c r="E134" s="465"/>
      <c r="F134" s="484">
        <f t="shared" ref="F134:F135" si="13">C134*E134*(1+D134)</f>
        <v>0</v>
      </c>
    </row>
    <row r="135" spans="1:6" x14ac:dyDescent="0.2">
      <c r="A135" s="451" t="s">
        <v>226</v>
      </c>
      <c r="B135" s="452" t="s">
        <v>31</v>
      </c>
      <c r="C135" s="467"/>
      <c r="D135" s="454"/>
      <c r="E135" s="455"/>
      <c r="F135" s="484">
        <f t="shared" si="13"/>
        <v>0</v>
      </c>
    </row>
    <row r="136" spans="1:6" x14ac:dyDescent="0.2">
      <c r="A136" s="451" t="s">
        <v>227</v>
      </c>
      <c r="B136" s="452" t="s">
        <v>228</v>
      </c>
      <c r="C136" s="452"/>
      <c r="D136" s="454"/>
      <c r="E136" s="455"/>
      <c r="F136" s="484">
        <f>C136*E136*(1+D136)</f>
        <v>0</v>
      </c>
    </row>
    <row r="137" spans="1:6" x14ac:dyDescent="0.2">
      <c r="A137" s="451" t="s">
        <v>308</v>
      </c>
      <c r="B137" s="452" t="s">
        <v>213</v>
      </c>
      <c r="C137" s="507">
        <v>1.1000000000000001</v>
      </c>
      <c r="D137" s="454">
        <v>0.19</v>
      </c>
      <c r="E137" s="455">
        <v>29.5</v>
      </c>
      <c r="F137" s="485">
        <f t="shared" ref="F137" si="14">C137*E137*(1+D137)</f>
        <v>38.615500000000004</v>
      </c>
    </row>
    <row r="138" spans="1:6" ht="15" x14ac:dyDescent="0.25">
      <c r="A138" s="122" t="s">
        <v>80</v>
      </c>
      <c r="B138" s="41"/>
      <c r="C138" s="41"/>
      <c r="D138" s="41"/>
      <c r="E138" s="123"/>
      <c r="F138" s="153">
        <f>SUM(F126:F137)</f>
        <v>2275.55125</v>
      </c>
    </row>
    <row r="139" spans="1:6" x14ac:dyDescent="0.2">
      <c r="A139" s="122" t="s">
        <v>81</v>
      </c>
      <c r="B139" s="41"/>
      <c r="C139" s="468">
        <v>0.02</v>
      </c>
      <c r="D139" s="41"/>
      <c r="E139" s="123"/>
      <c r="F139" s="126">
        <f>F138*C139</f>
        <v>45.511025000000004</v>
      </c>
    </row>
    <row r="140" spans="1:6" ht="15.75" thickBot="1" x14ac:dyDescent="0.3">
      <c r="A140" s="38" t="s">
        <v>82</v>
      </c>
      <c r="B140" s="114"/>
      <c r="C140" s="114"/>
      <c r="D140" s="114"/>
      <c r="E140" s="36"/>
      <c r="F140" s="130">
        <f>SUM(F138:F139)</f>
        <v>2321.0622749999998</v>
      </c>
    </row>
    <row r="141" spans="1:6" ht="15" thickBot="1" x14ac:dyDescent="0.25">
      <c r="A141" s="51"/>
      <c r="B141" s="52"/>
      <c r="C141" s="52"/>
      <c r="D141" s="52"/>
      <c r="E141" s="104"/>
      <c r="F141" s="111"/>
    </row>
    <row r="142" spans="1:6" ht="15" x14ac:dyDescent="0.25">
      <c r="A142" s="121" t="s">
        <v>83</v>
      </c>
      <c r="B142" s="49"/>
      <c r="C142" s="49"/>
      <c r="D142" s="49"/>
      <c r="E142" s="124"/>
      <c r="F142" s="127">
        <f>F123-F140</f>
        <v>-2321.0622749999998</v>
      </c>
    </row>
    <row r="143" spans="1:6" ht="15.75" thickBot="1" x14ac:dyDescent="0.3">
      <c r="A143" s="128" t="s">
        <v>85</v>
      </c>
      <c r="B143" s="114"/>
      <c r="C143" s="114" t="s">
        <v>86</v>
      </c>
      <c r="D143" s="36"/>
      <c r="E143" s="129"/>
      <c r="F143" s="130">
        <f>F123-F138</f>
        <v>-2275.55125</v>
      </c>
    </row>
    <row r="146" spans="1:6" ht="18" x14ac:dyDescent="0.25">
      <c r="A146" s="1" t="s">
        <v>46</v>
      </c>
      <c r="B146" t="s">
        <v>53</v>
      </c>
    </row>
    <row r="147" spans="1:6" x14ac:dyDescent="0.2">
      <c r="A147" s="40" t="s">
        <v>49</v>
      </c>
      <c r="B147" s="42"/>
      <c r="C147" s="47" t="s">
        <v>88</v>
      </c>
      <c r="D147" s="47" t="s">
        <v>89</v>
      </c>
      <c r="E147" s="47" t="s">
        <v>20</v>
      </c>
      <c r="F147" s="47" t="s">
        <v>148</v>
      </c>
    </row>
    <row r="148" spans="1:6" x14ac:dyDescent="0.2">
      <c r="A148" s="40" t="s">
        <v>51</v>
      </c>
      <c r="B148" s="42"/>
      <c r="C148" s="138">
        <f>'Deckungsbeitrag Zeitverteilung'!B124</f>
        <v>9</v>
      </c>
      <c r="D148" s="138">
        <f>'Deckungsbeitrag Zeitverteilung'!D124</f>
        <v>2</v>
      </c>
      <c r="E148" s="138">
        <f>'Deckungsbeitrag Zeitverteilung'!F124</f>
        <v>1</v>
      </c>
      <c r="F148" s="138">
        <f>C148+D148+E148</f>
        <v>12</v>
      </c>
    </row>
    <row r="149" spans="1:6" x14ac:dyDescent="0.2">
      <c r="A149" s="139" t="s">
        <v>90</v>
      </c>
      <c r="B149" s="41"/>
      <c r="C149" s="41"/>
      <c r="D149" s="41"/>
      <c r="E149" s="41"/>
      <c r="F149" s="42"/>
    </row>
    <row r="150" spans="1:6" ht="15" thickBot="1" x14ac:dyDescent="0.25">
      <c r="A150" s="40"/>
      <c r="B150" s="41"/>
      <c r="C150" s="41"/>
      <c r="D150" s="41"/>
      <c r="E150" s="42"/>
      <c r="F150" s="138" t="s">
        <v>52</v>
      </c>
    </row>
    <row r="151" spans="1:6" ht="15" x14ac:dyDescent="0.25">
      <c r="A151" s="121" t="s">
        <v>91</v>
      </c>
      <c r="B151" s="50"/>
      <c r="C151" s="141">
        <f>F41</f>
        <v>161.09268299999985</v>
      </c>
      <c r="D151" s="141">
        <f>F92</f>
        <v>-1418.9760690000003</v>
      </c>
      <c r="E151" s="142">
        <f>F142</f>
        <v>-2321.0622749999998</v>
      </c>
      <c r="F151" s="145">
        <f>(C151*$C$148+D151*$D$148+E151*$E$148)/$F$148</f>
        <v>-309.09835550000014</v>
      </c>
    </row>
    <row r="152" spans="1:6" ht="15.75" thickBot="1" x14ac:dyDescent="0.3">
      <c r="A152" s="147" t="s">
        <v>92</v>
      </c>
      <c r="B152" s="53"/>
      <c r="C152" s="143">
        <f>F42</f>
        <v>223.05164999999988</v>
      </c>
      <c r="D152" s="143">
        <f>F93</f>
        <v>-1365.1059500000001</v>
      </c>
      <c r="E152" s="144">
        <f>F143</f>
        <v>-2275.55125</v>
      </c>
      <c r="F152" s="146">
        <f>(C152*$C$148+D152*$D$148+E152*$E$148)/$F$148</f>
        <v>-249.85819166666678</v>
      </c>
    </row>
    <row r="153" spans="1:6" x14ac:dyDescent="0.2">
      <c r="E153" s="152" t="s">
        <v>100</v>
      </c>
    </row>
    <row r="154" spans="1:6" x14ac:dyDescent="0.2">
      <c r="A154" s="40" t="s">
        <v>94</v>
      </c>
      <c r="B154" s="41" t="s">
        <v>95</v>
      </c>
      <c r="C154" s="149">
        <f>'Deckungsbeitrag Arbeitsgänge'!B39-'Deckungsbeitrag Arbeitsgänge'!C39</f>
        <v>38</v>
      </c>
      <c r="D154" s="149">
        <f>'Deckungsbeitrag Arbeitsgänge'!B77-'Deckungsbeitrag Arbeitsgänge'!C77</f>
        <v>27</v>
      </c>
      <c r="E154" s="148">
        <f>'Deckungsbeitrag Arbeitsgänge'!B117+'Deckungsbeitrag Arbeitsgänge'!B108+'Deckungsbeitrag Arbeitsgänge'!B94-'Deckungsbeitrag Arbeitsgänge'!C117-'Deckungsbeitrag Arbeitsgänge'!C108-'Deckungsbeitrag Arbeitsgänge'!C94</f>
        <v>45</v>
      </c>
      <c r="F154" s="150">
        <f>(C154*$C$148+D154*$D$148+E154*$E$148)/$F$148</f>
        <v>36.75</v>
      </c>
    </row>
    <row r="155" spans="1:6" x14ac:dyDescent="0.2">
      <c r="A155" s="40" t="s">
        <v>96</v>
      </c>
      <c r="B155" s="41" t="s">
        <v>98</v>
      </c>
      <c r="C155" s="41"/>
      <c r="D155" s="471">
        <f>Ertragsgrenzen!B22</f>
        <v>25</v>
      </c>
      <c r="E155" s="42" t="s">
        <v>97</v>
      </c>
      <c r="F155" s="135">
        <f>F154*D155</f>
        <v>918.75</v>
      </c>
    </row>
    <row r="156" spans="1:6" x14ac:dyDescent="0.2">
      <c r="A156" s="40" t="s">
        <v>93</v>
      </c>
      <c r="B156" s="151" t="s">
        <v>101</v>
      </c>
      <c r="C156" s="41"/>
      <c r="D156" s="41"/>
      <c r="E156" s="41"/>
      <c r="F156" s="140">
        <f>'Investitionskosten Anlage'!F51-'Investitionskosten Anlage'!F40-'Investitionskosten Anlage'!F30-'Investitionskosten Anlage'!F29</f>
        <v>399.33750000000009</v>
      </c>
    </row>
  </sheetData>
  <sheetProtection password="DC5E" sheet="1" objects="1" scenarios="1" selectLockedCells="1"/>
  <mergeCells count="7">
    <mergeCell ref="C27:D27"/>
    <mergeCell ref="C83:D83"/>
    <mergeCell ref="C133:D133"/>
    <mergeCell ref="C24:D24"/>
    <mergeCell ref="A24:B24"/>
    <mergeCell ref="A80:B80"/>
    <mergeCell ref="C80:D80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45" r:id="rId4">
          <objectPr defaultSize="0" autoPict="0" r:id="rId5">
            <anchor moveWithCells="1" sizeWithCells="1">
              <from>
                <xdr:col>1</xdr:col>
                <xdr:colOff>0</xdr:colOff>
                <xdr:row>57</xdr:row>
                <xdr:rowOff>9525</xdr:rowOff>
              </from>
              <to>
                <xdr:col>1</xdr:col>
                <xdr:colOff>0</xdr:colOff>
                <xdr:row>59</xdr:row>
                <xdr:rowOff>9525</xdr:rowOff>
              </to>
            </anchor>
          </objectPr>
        </oleObject>
      </mc:Choice>
      <mc:Fallback>
        <oleObject progId="Word.Picture.8" shapeId="10245" r:id="rId4"/>
      </mc:Fallback>
    </mc:AlternateContent>
    <mc:AlternateContent xmlns:mc="http://schemas.openxmlformats.org/markup-compatibility/2006">
      <mc:Choice Requires="x14">
        <oleObject progId="Word.Picture.8" shapeId="10246" r:id="rId6">
          <objectPr defaultSize="0" autoPict="0" r:id="rId5">
            <anchor moveWithCells="1" sizeWithCells="1">
              <from>
                <xdr:col>0</xdr:col>
                <xdr:colOff>1609725</xdr:colOff>
                <xdr:row>56</xdr:row>
                <xdr:rowOff>114300</xdr:rowOff>
              </from>
              <to>
                <xdr:col>1</xdr:col>
                <xdr:colOff>476250</xdr:colOff>
                <xdr:row>60</xdr:row>
                <xdr:rowOff>38100</xdr:rowOff>
              </to>
            </anchor>
          </objectPr>
        </oleObject>
      </mc:Choice>
      <mc:Fallback>
        <oleObject progId="Word.Picture.8" shapeId="10246" r:id="rId6"/>
      </mc:Fallback>
    </mc:AlternateContent>
    <mc:AlternateContent xmlns:mc="http://schemas.openxmlformats.org/markup-compatibility/2006">
      <mc:Choice Requires="x14">
        <oleObject progId="Word.Picture.8" shapeId="10249" r:id="rId7">
          <objectPr defaultSize="0" autoPict="0" r:id="rId5">
            <anchor moveWithCells="1" sizeWithCells="1">
              <from>
                <xdr:col>1</xdr:col>
                <xdr:colOff>0</xdr:colOff>
                <xdr:row>108</xdr:row>
                <xdr:rowOff>9525</xdr:rowOff>
              </from>
              <to>
                <xdr:col>1</xdr:col>
                <xdr:colOff>0</xdr:colOff>
                <xdr:row>110</xdr:row>
                <xdr:rowOff>9525</xdr:rowOff>
              </to>
            </anchor>
          </objectPr>
        </oleObject>
      </mc:Choice>
      <mc:Fallback>
        <oleObject progId="Word.Picture.8" shapeId="10249" r:id="rId7"/>
      </mc:Fallback>
    </mc:AlternateContent>
    <mc:AlternateContent xmlns:mc="http://schemas.openxmlformats.org/markup-compatibility/2006">
      <mc:Choice Requires="x14">
        <oleObject progId="Word.Picture.8" shapeId="10250" r:id="rId8">
          <objectPr defaultSize="0" autoPict="0" r:id="rId5">
            <anchor moveWithCells="1" sizeWithCells="1">
              <from>
                <xdr:col>0</xdr:col>
                <xdr:colOff>1609725</xdr:colOff>
                <xdr:row>107</xdr:row>
                <xdr:rowOff>114300</xdr:rowOff>
              </from>
              <to>
                <xdr:col>1</xdr:col>
                <xdr:colOff>476250</xdr:colOff>
                <xdr:row>111</xdr:row>
                <xdr:rowOff>0</xdr:rowOff>
              </to>
            </anchor>
          </objectPr>
        </oleObject>
      </mc:Choice>
      <mc:Fallback>
        <oleObject progId="Word.Picture.8" shapeId="10250" r:id="rId8"/>
      </mc:Fallback>
    </mc:AlternateContent>
    <mc:AlternateContent xmlns:mc="http://schemas.openxmlformats.org/markup-compatibility/2006">
      <mc:Choice Requires="x14">
        <oleObject progId="Word.Picture.8" shapeId="10253" r:id="rId9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9525</xdr:rowOff>
              </from>
              <to>
                <xdr:col>1</xdr:col>
                <xdr:colOff>0</xdr:colOff>
                <xdr:row>3</xdr:row>
                <xdr:rowOff>9525</xdr:rowOff>
              </to>
            </anchor>
          </objectPr>
        </oleObject>
      </mc:Choice>
      <mc:Fallback>
        <oleObject progId="Word.Picture.8" shapeId="10253" r:id="rId9"/>
      </mc:Fallback>
    </mc:AlternateContent>
    <mc:AlternateContent xmlns:mc="http://schemas.openxmlformats.org/markup-compatibility/2006">
      <mc:Choice Requires="x14">
        <oleObject progId="Word.Picture.8" shapeId="10254" r:id="rId10">
          <objectPr defaultSize="0" autoPict="0" r:id="rId5">
            <anchor moveWithCells="1" sizeWithCells="1">
              <from>
                <xdr:col>0</xdr:col>
                <xdr:colOff>1609725</xdr:colOff>
                <xdr:row>0</xdr:row>
                <xdr:rowOff>114300</xdr:rowOff>
              </from>
              <to>
                <xdr:col>1</xdr:col>
                <xdr:colOff>476250</xdr:colOff>
                <xdr:row>4</xdr:row>
                <xdr:rowOff>38100</xdr:rowOff>
              </to>
            </anchor>
          </objectPr>
        </oleObject>
      </mc:Choice>
      <mc:Fallback>
        <oleObject progId="Word.Picture.8" shapeId="10254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Anleitung</vt:lpstr>
      <vt:lpstr>Investitionskosten Anlage</vt:lpstr>
      <vt:lpstr>Einzelkosten Vollertrag</vt:lpstr>
      <vt:lpstr>Einzelkosten Junganlage</vt:lpstr>
      <vt:lpstr>Ertragsgrenzen</vt:lpstr>
      <vt:lpstr>Deckungsbeitrag Arbeitsgänge</vt:lpstr>
      <vt:lpstr>Deckungsbeitrag Zeitverteilung</vt:lpstr>
      <vt:lpstr>Deckungsbeitrag Pflanzenschutz</vt:lpstr>
      <vt:lpstr>Deckungsbeitrag</vt:lpstr>
      <vt:lpstr>Deckungsbeitrag!Druckbereich</vt:lpstr>
      <vt:lpstr>'Deckungsbeitrag Arbeitsgänge'!Druckbereich</vt:lpstr>
      <vt:lpstr>'Deckungsbeitrag Pflanzenschutz'!Druckbereich</vt:lpstr>
      <vt:lpstr>'Deckungsbeitrag Zeitverteilung'!Druckbereich</vt:lpstr>
      <vt:lpstr>'Einzelkosten Junganlage'!Druckbereich</vt:lpstr>
      <vt:lpstr>'Einzelkosten Vollertrag'!Druckbereich</vt:lpstr>
      <vt:lpstr>Ertragsgrenzen!Druckbereich</vt:lpstr>
      <vt:lpstr>'Investitionskosten Anlage'!Druckbereich</vt:lpstr>
    </vt:vector>
  </TitlesOfParts>
  <Company>LGL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Volgenandt (LVWO)</dc:creator>
  <cp:lastModifiedBy>Volgenandt, Stefan (LVWO)</cp:lastModifiedBy>
  <cp:lastPrinted>2020-08-04T06:38:28Z</cp:lastPrinted>
  <dcterms:created xsi:type="dcterms:W3CDTF">2013-09-24T12:06:11Z</dcterms:created>
  <dcterms:modified xsi:type="dcterms:W3CDTF">2020-08-04T06:40:07Z</dcterms:modified>
</cp:coreProperties>
</file>