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1040" tabRatio="836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C18" i="12" l="1"/>
  <c r="C25" i="8" l="1"/>
  <c r="C26" i="8" s="1"/>
  <c r="C81" i="8"/>
  <c r="C82" i="8" s="1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7" i="4"/>
  <c r="L7" i="4"/>
  <c r="K7" i="4"/>
  <c r="J7" i="4"/>
  <c r="I7" i="4"/>
  <c r="H7" i="4"/>
  <c r="G7" i="4"/>
  <c r="F7" i="4"/>
  <c r="E7" i="4"/>
  <c r="D7" i="4"/>
  <c r="C7" i="4"/>
  <c r="B7" i="4"/>
  <c r="N111" i="1"/>
  <c r="N53" i="1"/>
  <c r="N54" i="1"/>
  <c r="N55" i="1"/>
  <c r="N56" i="1"/>
  <c r="N15" i="1"/>
  <c r="N14" i="1"/>
  <c r="N12" i="1"/>
  <c r="N110" i="1" l="1"/>
  <c r="C108" i="1" l="1"/>
  <c r="B108" i="1"/>
  <c r="C131" i="8" l="1"/>
  <c r="E86" i="8"/>
  <c r="E85" i="8"/>
  <c r="C85" i="8"/>
  <c r="E80" i="8"/>
  <c r="C29" i="8"/>
  <c r="E24" i="8"/>
  <c r="F29" i="8"/>
  <c r="E30" i="8"/>
  <c r="E29" i="8"/>
  <c r="B11" i="1" l="1"/>
  <c r="B52" i="1"/>
  <c r="B117" i="1" l="1"/>
  <c r="D108" i="1"/>
  <c r="B94" i="1"/>
  <c r="D77" i="1"/>
  <c r="N57" i="1" l="1"/>
  <c r="D155" i="8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F82" i="8"/>
  <c r="F79" i="8"/>
  <c r="F75" i="8"/>
  <c r="F36" i="8"/>
  <c r="F35" i="8"/>
  <c r="F34" i="8"/>
  <c r="F33" i="8"/>
  <c r="F32" i="8"/>
  <c r="F31" i="8"/>
  <c r="F19" i="8"/>
  <c r="F26" i="8"/>
  <c r="E22" i="8"/>
  <c r="F25" i="8" l="1"/>
  <c r="F131" i="8"/>
  <c r="F81" i="8"/>
  <c r="C38" i="11"/>
  <c r="B10" i="1" s="1"/>
  <c r="C38" i="12"/>
  <c r="B51" i="1" s="1"/>
  <c r="F11" i="12"/>
  <c r="F11" i="11"/>
  <c r="F9" i="12"/>
  <c r="F7" i="12"/>
  <c r="F6" i="12"/>
  <c r="F5" i="12"/>
  <c r="F4" i="12"/>
  <c r="D18" i="12"/>
  <c r="D18" i="11"/>
  <c r="F9" i="10"/>
  <c r="F8" i="12" s="1"/>
  <c r="C40" i="12"/>
  <c r="C86" i="8" s="1"/>
  <c r="C41" i="12"/>
  <c r="D41" i="12" s="1"/>
  <c r="C40" i="11"/>
  <c r="C30" i="8" s="1"/>
  <c r="F30" i="8" s="1"/>
  <c r="C41" i="11"/>
  <c r="C42" i="12"/>
  <c r="C42" i="11"/>
  <c r="D41" i="11" l="1"/>
  <c r="C51" i="1"/>
  <c r="B77" i="1"/>
  <c r="C10" i="1"/>
  <c r="C39" i="1" s="1"/>
  <c r="C22" i="8" s="1"/>
  <c r="F22" i="8" s="1"/>
  <c r="B39" i="1"/>
  <c r="D27" i="11"/>
  <c r="D29" i="11"/>
  <c r="D39" i="11"/>
  <c r="D39" i="12"/>
  <c r="D29" i="12"/>
  <c r="D26" i="12"/>
  <c r="D25" i="12"/>
  <c r="D28" i="12"/>
  <c r="D27" i="12"/>
  <c r="D32" i="12"/>
  <c r="D31" i="12"/>
  <c r="D30" i="12"/>
  <c r="D38" i="12"/>
  <c r="D32" i="11"/>
  <c r="D31" i="11"/>
  <c r="D30" i="11"/>
  <c r="D28" i="11"/>
  <c r="D26" i="11"/>
  <c r="D25" i="11"/>
  <c r="D38" i="11"/>
  <c r="C47" i="10"/>
  <c r="C40" i="10"/>
  <c r="C39" i="10"/>
  <c r="C38" i="10"/>
  <c r="C37" i="10"/>
  <c r="C36" i="10"/>
  <c r="C35" i="10"/>
  <c r="B13" i="4" l="1"/>
  <c r="J13" i="4"/>
  <c r="L13" i="4"/>
  <c r="M13" i="4"/>
  <c r="K13" i="4" l="1"/>
  <c r="F25" i="12"/>
  <c r="E25" i="12"/>
  <c r="E26" i="12"/>
  <c r="F26" i="12" s="1"/>
  <c r="E25" i="11"/>
  <c r="F25" i="11" s="1"/>
  <c r="E27" i="11"/>
  <c r="F27" i="11" s="1"/>
  <c r="N75" i="1" l="1"/>
  <c r="E23" i="11"/>
  <c r="B54" i="12" l="1"/>
  <c r="B54" i="11"/>
  <c r="F44" i="12"/>
  <c r="E44" i="12"/>
  <c r="F43" i="12"/>
  <c r="E43" i="12"/>
  <c r="E42" i="12"/>
  <c r="F42" i="12" s="1"/>
  <c r="E41" i="12"/>
  <c r="F41" i="12" s="1"/>
  <c r="E40" i="12"/>
  <c r="F40" i="12" s="1"/>
  <c r="E39" i="12"/>
  <c r="F39" i="12" s="1"/>
  <c r="E38" i="12"/>
  <c r="F38" i="12" s="1"/>
  <c r="F32" i="12"/>
  <c r="E32" i="12"/>
  <c r="F31" i="12"/>
  <c r="E31" i="12"/>
  <c r="F30" i="12"/>
  <c r="E30" i="12"/>
  <c r="F29" i="12"/>
  <c r="E29" i="12"/>
  <c r="F28" i="12"/>
  <c r="E28" i="12"/>
  <c r="F27" i="12"/>
  <c r="E27" i="12"/>
  <c r="F24" i="12"/>
  <c r="E24" i="12"/>
  <c r="F23" i="12"/>
  <c r="E23" i="12"/>
  <c r="F22" i="12"/>
  <c r="E22" i="12"/>
  <c r="F21" i="12"/>
  <c r="E21" i="12"/>
  <c r="F20" i="12"/>
  <c r="E20" i="12"/>
  <c r="E19" i="12"/>
  <c r="F19" i="12" s="1"/>
  <c r="B6" i="12"/>
  <c r="B5" i="12"/>
  <c r="B4" i="12"/>
  <c r="E19" i="11"/>
  <c r="E20" i="11"/>
  <c r="E21" i="11"/>
  <c r="F21" i="11" s="1"/>
  <c r="E22" i="11"/>
  <c r="E24" i="11"/>
  <c r="E26" i="11"/>
  <c r="F26" i="11" s="1"/>
  <c r="E28" i="11"/>
  <c r="E29" i="11"/>
  <c r="E30" i="1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E38" i="11"/>
  <c r="F38" i="11" s="1"/>
  <c r="F43" i="11"/>
  <c r="F44" i="11"/>
  <c r="F19" i="11"/>
  <c r="F20" i="11"/>
  <c r="F22" i="11"/>
  <c r="F23" i="11"/>
  <c r="F24" i="11"/>
  <c r="F28" i="11"/>
  <c r="F29" i="11"/>
  <c r="F30" i="11"/>
  <c r="F31" i="11"/>
  <c r="F32" i="11"/>
  <c r="E54" i="11" l="1"/>
  <c r="K10" i="4" s="1"/>
  <c r="E45" i="12"/>
  <c r="F45" i="12" s="1"/>
  <c r="E53" i="11" s="1"/>
  <c r="E45" i="11"/>
  <c r="F45" i="11" s="1"/>
  <c r="E52" i="11" s="1"/>
  <c r="E25" i="10"/>
  <c r="F9" i="11"/>
  <c r="F6" i="11"/>
  <c r="F5" i="11"/>
  <c r="F4" i="11"/>
  <c r="B6" i="11"/>
  <c r="B5" i="11"/>
  <c r="B4" i="11"/>
  <c r="F43" i="10"/>
  <c r="F18" i="10"/>
  <c r="F19" i="10"/>
  <c r="F20" i="10"/>
  <c r="F21" i="10"/>
  <c r="F22" i="10"/>
  <c r="F23" i="10"/>
  <c r="F24" i="10"/>
  <c r="F26" i="10"/>
  <c r="F27" i="10"/>
  <c r="D17" i="10"/>
  <c r="F17" i="10" s="1"/>
  <c r="E10" i="4" l="1"/>
  <c r="J10" i="4"/>
  <c r="H10" i="4"/>
  <c r="D10" i="4"/>
  <c r="L10" i="4"/>
  <c r="M10" i="4"/>
  <c r="G10" i="4"/>
  <c r="F10" i="4"/>
  <c r="B10" i="4"/>
  <c r="C10" i="4"/>
  <c r="I10" i="4"/>
  <c r="E52" i="12"/>
  <c r="E54" i="12" s="1"/>
  <c r="E53" i="12"/>
  <c r="E24" i="10"/>
  <c r="D16" i="10"/>
  <c r="D18" i="10"/>
  <c r="D19" i="10"/>
  <c r="D20" i="10"/>
  <c r="D21" i="10"/>
  <c r="D22" i="10"/>
  <c r="D23" i="10"/>
  <c r="D24" i="10"/>
  <c r="D25" i="10"/>
  <c r="F25" i="10" s="1"/>
  <c r="D26" i="10"/>
  <c r="D27" i="10"/>
  <c r="D28" i="10"/>
  <c r="F28" i="10" s="1"/>
  <c r="D29" i="10"/>
  <c r="F29" i="10" s="1"/>
  <c r="D30" i="10"/>
  <c r="F30" i="10" s="1"/>
  <c r="D31" i="10"/>
  <c r="F31" i="10" s="1"/>
  <c r="D15" i="10"/>
  <c r="E28" i="10"/>
  <c r="E31" i="10"/>
  <c r="E30" i="10"/>
  <c r="E29" i="10"/>
  <c r="E15" i="10"/>
  <c r="B48" i="10"/>
  <c r="D47" i="10"/>
  <c r="F47" i="10" s="1"/>
  <c r="D46" i="10"/>
  <c r="F46" i="10" s="1"/>
  <c r="E47" i="10"/>
  <c r="E46" i="10"/>
  <c r="E43" i="10"/>
  <c r="B41" i="10"/>
  <c r="B51" i="10" s="1"/>
  <c r="D36" i="10"/>
  <c r="F36" i="10" s="1"/>
  <c r="D37" i="10"/>
  <c r="F37" i="10" s="1"/>
  <c r="D38" i="10"/>
  <c r="F38" i="10" s="1"/>
  <c r="D39" i="10"/>
  <c r="F39" i="10" s="1"/>
  <c r="D40" i="10"/>
  <c r="F40" i="10" s="1"/>
  <c r="D35" i="10"/>
  <c r="F35" i="10" s="1"/>
  <c r="E40" i="10"/>
  <c r="E39" i="10"/>
  <c r="E38" i="10"/>
  <c r="E37" i="10"/>
  <c r="E36" i="10"/>
  <c r="E35" i="10"/>
  <c r="F16" i="10" l="1"/>
  <c r="F80" i="8"/>
  <c r="F24" i="8"/>
  <c r="E33" i="11"/>
  <c r="F33" i="11" s="1"/>
  <c r="E33" i="12"/>
  <c r="F33" i="12" s="1"/>
  <c r="D48" i="10"/>
  <c r="D41" i="10"/>
  <c r="F41" i="10"/>
  <c r="F48" i="10"/>
  <c r="F15" i="10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F32" i="10" l="1"/>
  <c r="F51" i="10" s="1"/>
  <c r="F156" i="8" s="1"/>
  <c r="C51" i="10"/>
  <c r="N16" i="1"/>
  <c r="N18" i="1"/>
  <c r="N17" i="1"/>
  <c r="C13" i="4"/>
  <c r="E17" i="12" l="1"/>
  <c r="F17" i="12" s="1"/>
  <c r="E17" i="11"/>
  <c r="F17" i="11" s="1"/>
  <c r="F13" i="4"/>
  <c r="G13" i="4"/>
  <c r="E13" i="4"/>
  <c r="I13" i="4"/>
  <c r="D13" i="4"/>
  <c r="H13" i="4"/>
  <c r="N26" i="1" l="1"/>
  <c r="N13" i="1" l="1"/>
  <c r="F23" i="8"/>
  <c r="N98" i="1"/>
  <c r="N97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N58" i="1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C148" i="8" l="1"/>
  <c r="D148" i="8"/>
  <c r="E148" i="8"/>
  <c r="I14" i="7"/>
  <c r="I44" i="7"/>
  <c r="I45" i="7"/>
  <c r="I46" i="7"/>
  <c r="N112" i="1"/>
  <c r="N113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M130" i="6" s="1"/>
  <c r="L39" i="6"/>
  <c r="K39" i="6"/>
  <c r="J39" i="6"/>
  <c r="I39" i="6"/>
  <c r="I130" i="6" s="1"/>
  <c r="H39" i="6"/>
  <c r="G39" i="6"/>
  <c r="F39" i="6"/>
  <c r="E39" i="6"/>
  <c r="E130" i="6" s="1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D130" i="6" l="1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9" i="1"/>
  <c r="N107" i="1"/>
  <c r="N106" i="1"/>
  <c r="N105" i="1"/>
  <c r="N104" i="1"/>
  <c r="N102" i="1"/>
  <c r="N101" i="1"/>
  <c r="N100" i="1"/>
  <c r="N93" i="1"/>
  <c r="N92" i="1"/>
  <c r="N90" i="1"/>
  <c r="N89" i="1"/>
  <c r="N88" i="1"/>
  <c r="N87" i="1"/>
  <c r="N108" i="1" l="1"/>
  <c r="N94" i="1"/>
  <c r="F93" i="8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C18" i="11" s="1"/>
  <c r="E18" i="11" s="1"/>
  <c r="E18" i="12"/>
  <c r="F41" i="8" l="1"/>
  <c r="C151" i="8" s="1"/>
  <c r="F151" i="8" s="1"/>
  <c r="E34" i="12"/>
  <c r="F18" i="12"/>
  <c r="E34" i="11"/>
  <c r="F18" i="11"/>
  <c r="F8" i="11"/>
  <c r="F52" i="11" l="1"/>
  <c r="F52" i="12"/>
  <c r="F53" i="12"/>
  <c r="F53" i="11"/>
  <c r="F34" i="12"/>
  <c r="E48" i="12"/>
  <c r="E48" i="11"/>
  <c r="F34" i="11"/>
  <c r="F54" i="12" l="1"/>
  <c r="F54" i="11"/>
  <c r="F48" i="11"/>
  <c r="C52" i="11"/>
  <c r="C52" i="12"/>
  <c r="C53" i="12"/>
  <c r="F48" i="12"/>
  <c r="C53" i="11"/>
  <c r="C54" i="11" l="1"/>
  <c r="K9" i="4"/>
  <c r="K11" i="4" s="1"/>
  <c r="K16" i="4" s="1"/>
  <c r="B9" i="4"/>
  <c r="B11" i="4" s="1"/>
  <c r="B16" i="4" s="1"/>
  <c r="J9" i="4"/>
  <c r="J11" i="4" s="1"/>
  <c r="J16" i="4" s="1"/>
  <c r="L9" i="4"/>
  <c r="L11" i="4" s="1"/>
  <c r="L16" i="4" s="1"/>
  <c r="G9" i="4"/>
  <c r="G11" i="4" s="1"/>
  <c r="G16" i="4" s="1"/>
  <c r="M9" i="4"/>
  <c r="M11" i="4" s="1"/>
  <c r="M16" i="4" s="1"/>
  <c r="H9" i="4"/>
  <c r="H11" i="4" s="1"/>
  <c r="H16" i="4" s="1"/>
  <c r="C9" i="4"/>
  <c r="C11" i="4" s="1"/>
  <c r="C16" i="4" s="1"/>
  <c r="I9" i="4"/>
  <c r="I11" i="4" s="1"/>
  <c r="I16" i="4" s="1"/>
  <c r="D9" i="4"/>
  <c r="D11" i="4" s="1"/>
  <c r="D16" i="4" s="1"/>
  <c r="F9" i="4"/>
  <c r="F11" i="4" s="1"/>
  <c r="F16" i="4" s="1"/>
  <c r="E9" i="4"/>
  <c r="E11" i="4" s="1"/>
  <c r="E16" i="4" s="1"/>
  <c r="C54" i="12"/>
  <c r="D53" i="11"/>
  <c r="D53" i="12"/>
  <c r="D52" i="12"/>
  <c r="D52" i="11"/>
  <c r="D54" i="11" l="1"/>
  <c r="D54" i="12"/>
</calcChain>
</file>

<file path=xl/comments1.xml><?xml version="1.0" encoding="utf-8"?>
<comments xmlns="http://schemas.openxmlformats.org/spreadsheetml/2006/main">
  <authors>
    <author>Volgenandt, Stefan (LVWO)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1 Tropfschlauch
Querleitung 500 €
Zufuhrleitung 250 € pro Jahr = 3250 €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2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3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2,20€/kg
Durchschnittsertrag 18.000 kg
--&gt;39.600€
3% der erwarteten Einnahmen
--&gt;1188€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2,20€/kg
Durchschnittsertrag 18.000 kg
--&gt;39.600€
5% der erwarteten Einnahmen
--&gt;1980€</t>
        </r>
      </text>
    </comment>
  </commentList>
</comments>
</file>

<file path=xl/sharedStrings.xml><?xml version="1.0" encoding="utf-8"?>
<sst xmlns="http://schemas.openxmlformats.org/spreadsheetml/2006/main" count="878" uniqueCount="331">
  <si>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</si>
  <si>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</si>
  <si>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</si>
  <si>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</si>
  <si>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</si>
  <si>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</si>
  <si>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</si>
  <si>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</si>
  <si>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</si>
  <si>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</si>
  <si>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</si>
  <si>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</si>
  <si>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</si>
  <si>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</si>
  <si>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</si>
  <si>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</si>
  <si>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</si>
  <si>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</si>
  <si>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</si>
  <si>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</si>
  <si>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</si>
  <si>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</si>
  <si>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</si>
  <si>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</si>
  <si>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</si>
  <si>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</si>
  <si>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</si>
  <si>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</si>
  <si>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</si>
  <si>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</si>
  <si>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</si>
  <si>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</si>
  <si>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</si>
  <si>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</si>
  <si>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</si>
  <si>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</si>
  <si>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</si>
  <si>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</si>
  <si>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</si>
  <si>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</si>
  <si>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</si>
  <si>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</si>
  <si>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</si>
  <si>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</si>
  <si>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</si>
  <si>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</si>
  <si>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</si>
  <si>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</si>
  <si>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</si>
  <si>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</si>
  <si>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</si>
  <si>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</si>
  <si>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</si>
  <si>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</si>
  <si>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</si>
  <si>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</si>
  <si>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</si>
  <si>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</si>
  <si>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</si>
  <si>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</si>
  <si>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</si>
  <si>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</si>
  <si>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</si>
  <si>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</si>
  <si>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</si>
  <si>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</si>
  <si>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</si>
  <si>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</si>
  <si>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</si>
  <si>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</si>
  <si>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</si>
  <si>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</si>
  <si>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</si>
  <si>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</si>
  <si>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</si>
  <si>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</si>
  <si>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</si>
  <si>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</si>
  <si>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</si>
  <si>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</si>
  <si>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</si>
  <si>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</si>
  <si>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</si>
  <si>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</si>
  <si>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</si>
  <si>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</si>
  <si>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</si>
  <si>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</si>
  <si>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</si>
  <si>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</si>
  <si>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</si>
  <si>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</si>
  <si>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</si>
  <si>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</si>
  <si>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</si>
  <si>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</si>
  <si>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</si>
  <si>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</si>
  <si>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</si>
  <si>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</si>
  <si>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</si>
  <si>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</si>
  <si>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</si>
  <si>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</si>
  <si>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</si>
  <si>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</si>
  <si>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</si>
  <si>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</si>
  <si>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</si>
  <si>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</si>
  <si>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</si>
  <si>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</si>
  <si>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</si>
  <si>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</si>
  <si>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</si>
  <si>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</si>
  <si>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</si>
  <si>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</si>
  <si>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</si>
  <si>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</si>
  <si>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</si>
  <si>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</si>
  <si>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</si>
  <si>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</si>
  <si>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</si>
  <si>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</si>
  <si>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</si>
  <si>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</si>
  <si>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</si>
  <si>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</si>
  <si>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</si>
  <si>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</si>
  <si>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</si>
  <si>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</si>
  <si>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</si>
  <si>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</si>
  <si>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</si>
  <si>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</si>
  <si>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</si>
  <si>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</si>
  <si>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</si>
  <si>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</si>
  <si>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</si>
  <si>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</si>
  <si>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</si>
  <si>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</si>
  <si>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</si>
  <si>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</si>
  <si>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</si>
  <si>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</si>
  <si>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</si>
  <si>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</si>
  <si>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</si>
  <si>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</si>
  <si>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</si>
  <si>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</si>
  <si>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</si>
  <si>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</si>
  <si>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</si>
  <si>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</si>
  <si>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</si>
  <si>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</si>
  <si>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</si>
  <si>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</si>
  <si>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</si>
  <si>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</si>
  <si>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</si>
  <si>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</si>
  <si>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</si>
  <si>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</si>
  <si>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</si>
  <si>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</si>
  <si>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</si>
  <si>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</si>
  <si>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</si>
  <si>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</si>
  <si>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</si>
  <si>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</si>
  <si>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Allgemeinkosten 6000 €/ha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</si>
  <si>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</si>
  <si>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</si>
  <si>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</si>
  <si>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</si>
  <si>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</si>
  <si>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</si>
  <si>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</si>
  <si>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</si>
  <si>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</si>
  <si>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</si>
  <si>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</si>
  <si>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</si>
  <si>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</si>
  <si>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</si>
  <si>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</si>
  <si>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</si>
  <si>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</si>
  <si>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</si>
  <si>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</si>
  <si>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</si>
  <si>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</si>
  <si>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</si>
  <si>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</si>
  <si>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Aufwuchs entfernen</t>
  </si>
  <si>
    <t>Akh: Schnitt, Anbinden</t>
  </si>
  <si>
    <t>Akh: Kontrolle</t>
  </si>
  <si>
    <t>Akh: Spritzen, Mulchen</t>
  </si>
  <si>
    <t>Akh: Folien/Netze aufziehen</t>
  </si>
  <si>
    <t>Akh: Folien/Netze abbauen</t>
  </si>
  <si>
    <t>Akh: weitere Arbeitsgänge</t>
  </si>
  <si>
    <t>Akh: pflücken</t>
  </si>
  <si>
    <t>Akh: Kontrolle, Transport</t>
  </si>
  <si>
    <t>Akh: Pflücken</t>
  </si>
  <si>
    <t>Allgemeine Bedienungsanleitung</t>
  </si>
  <si>
    <t>dt</t>
  </si>
  <si>
    <t>St.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</si>
  <si>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</si>
  <si>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</si>
  <si>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</si>
  <si>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</si>
  <si>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</si>
  <si>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</si>
  <si>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</si>
  <si>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</si>
  <si>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</si>
  <si>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</si>
  <si>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</si>
  <si>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</si>
  <si>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</si>
  <si>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</si>
  <si>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</si>
  <si>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</si>
  <si>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</si>
  <si>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Flint</t>
  </si>
  <si>
    <t>Kristalon orange</t>
  </si>
  <si>
    <t>Pirimor Granulat</t>
  </si>
  <si>
    <t>Systhane 20 EW</t>
  </si>
  <si>
    <t>Aug</t>
  </si>
  <si>
    <t>Harnstoff</t>
  </si>
  <si>
    <t>Lebosol K+</t>
  </si>
  <si>
    <t>Delan WG</t>
  </si>
  <si>
    <t>QuickDown</t>
  </si>
  <si>
    <t>Stomp Aqua</t>
  </si>
  <si>
    <t>Flexidor</t>
  </si>
  <si>
    <t>Toil</t>
  </si>
  <si>
    <t>Signum</t>
  </si>
  <si>
    <t>Kumulus WG</t>
  </si>
  <si>
    <t>Para Sommer</t>
  </si>
  <si>
    <t>Polyram WG</t>
  </si>
  <si>
    <t>Switch</t>
  </si>
  <si>
    <t>Phosfik 60</t>
  </si>
  <si>
    <t>Sep</t>
  </si>
  <si>
    <t>Kumar</t>
  </si>
  <si>
    <t>Sep.</t>
  </si>
  <si>
    <t>Round up PowerFlex</t>
  </si>
  <si>
    <t>Quick Down</t>
  </si>
  <si>
    <t>Herbizid 2 x</t>
  </si>
  <si>
    <t>Schlepper</t>
  </si>
  <si>
    <t>Herbizidspritze</t>
  </si>
  <si>
    <t>Fass 400 l</t>
  </si>
  <si>
    <t>Mineraldüngung 1 x</t>
  </si>
  <si>
    <t>Schleuderstreuer</t>
  </si>
  <si>
    <t>Pflanzenschutz 7 x</t>
  </si>
  <si>
    <t>Anhängesprühgerät</t>
  </si>
  <si>
    <t>Mulchen 5 x</t>
  </si>
  <si>
    <t>Sichelmulcher</t>
  </si>
  <si>
    <t>Transporter</t>
  </si>
  <si>
    <t>Kontrolle</t>
  </si>
  <si>
    <t>Kompost 60 m³ alle 3 J.</t>
  </si>
  <si>
    <t>Kompoststreuer</t>
  </si>
  <si>
    <t>Schnitt</t>
  </si>
  <si>
    <t>Elektroschere</t>
  </si>
  <si>
    <t>Häckseln der Ruten</t>
  </si>
  <si>
    <t>Schlegelmulcher</t>
  </si>
  <si>
    <t>Neuruten anheften</t>
  </si>
  <si>
    <t>Max-Zange</t>
  </si>
  <si>
    <t>Aufputzen, abstreifen</t>
  </si>
  <si>
    <t>von Hand, mit Handschuh</t>
  </si>
  <si>
    <t>Herbizid 3 x</t>
  </si>
  <si>
    <t>Mineraldüngung 2 x</t>
  </si>
  <si>
    <t xml:space="preserve">Kompost i.d.R. 100 m³ </t>
  </si>
  <si>
    <t>Haupttriebe anclipsen</t>
  </si>
  <si>
    <t>Drähte entfernen</t>
  </si>
  <si>
    <t>Drahthaspel</t>
  </si>
  <si>
    <t>Pfähle herausziehen</t>
  </si>
  <si>
    <t>Anhänger</t>
  </si>
  <si>
    <t>Häckseln</t>
  </si>
  <si>
    <t>Forstmulcher</t>
  </si>
  <si>
    <t>Pflügen</t>
  </si>
  <si>
    <t>Drehpflug 4-Schar</t>
  </si>
  <si>
    <t>Fräsen</t>
  </si>
  <si>
    <t>Fräse, 3 m</t>
  </si>
  <si>
    <t>Vermessen der Reihen</t>
  </si>
  <si>
    <t>Pflanzen, maschinell</t>
  </si>
  <si>
    <t>Pflanzmaschine</t>
  </si>
  <si>
    <t>Stickel aufstellen</t>
  </si>
  <si>
    <t>Pfahldrücker, Anh.</t>
  </si>
  <si>
    <t>Drähte ziehen</t>
  </si>
  <si>
    <t>Bewässerung install.</t>
  </si>
  <si>
    <t>Einsaat Gassen</t>
  </si>
  <si>
    <t xml:space="preserve">Fräse  </t>
  </si>
  <si>
    <t>Sämaschine</t>
  </si>
  <si>
    <t>aufputzen, Mitteltrieb fördern</t>
  </si>
  <si>
    <t>Herbizid 1 x</t>
  </si>
  <si>
    <t>Mineraldüngung</t>
  </si>
  <si>
    <t>Pflanzenschutz 3 x</t>
  </si>
  <si>
    <t>Rote Johannisbeeren Hkl.1</t>
  </si>
  <si>
    <t>Ertrag in kg/Pflanze</t>
  </si>
  <si>
    <t>Risikozuschlag 1188 €/ha</t>
  </si>
  <si>
    <t>Gewinnzuschlag 1980 €/ha</t>
  </si>
  <si>
    <t>Tieflader, überdacht</t>
  </si>
  <si>
    <t>Gabelstapler</t>
  </si>
  <si>
    <t>Akh: Aufputzen</t>
  </si>
  <si>
    <t>Akh: Haupttriebe Anbinden</t>
  </si>
  <si>
    <t>Akh: Kompost ausbringen</t>
  </si>
  <si>
    <t>500g</t>
  </si>
  <si>
    <t>Verpackung, Schalen 500 g</t>
  </si>
  <si>
    <t>Steigen für 10 Schalen</t>
  </si>
  <si>
    <t>Bodenkultur, Freiland, 
3-Ast-Hecke</t>
  </si>
  <si>
    <t>Rote Johannisbeere</t>
  </si>
  <si>
    <t>Rovada</t>
  </si>
  <si>
    <t>2-jährige Junpflanzen</t>
  </si>
  <si>
    <t>3m</t>
  </si>
  <si>
    <t>1m</t>
  </si>
  <si>
    <t>Rote Johannisbeeren, Rovada, 3-Ast-Hecke, Bodenkultur</t>
  </si>
  <si>
    <t>t</t>
  </si>
  <si>
    <t>Düngung (Hühnermist Pellet)</t>
  </si>
  <si>
    <t>Düngung (KAS)</t>
  </si>
  <si>
    <t>Standzeit in Jahren</t>
  </si>
  <si>
    <t>Flächengröße brutto in ha</t>
  </si>
  <si>
    <t>Flächengröße netto in ha</t>
  </si>
  <si>
    <t>Version: Stand 04.08.2020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</si>
</sst>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  <numFmt numFmtId="172" formatCode="#,##0.0_ ;\-#,##0.0\ 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6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14" xfId="0" applyNumberFormat="1" applyBorder="1"/>
    <xf numFmtId="2" fontId="0" fillId="0" borderId="56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15" xfId="2" applyFon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15" xfId="2" applyNumberFormat="1" applyFont="1" applyBorder="1"/>
    <xf numFmtId="167" fontId="0" fillId="0" borderId="57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14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1" fontId="0" fillId="0" borderId="77" xfId="0" applyNumberFormat="1" applyBorder="1" applyProtection="1">
      <protection locked="0"/>
    </xf>
    <xf numFmtId="44" fontId="0" fillId="0" borderId="14" xfId="2" applyFont="1" applyBorder="1" applyProtection="1">
      <protection locked="0"/>
    </xf>
    <xf numFmtId="44" fontId="0" fillId="0" borderId="56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44" fontId="0" fillId="0" borderId="77" xfId="2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/>
    <xf numFmtId="1" fontId="0" fillId="0" borderId="8" xfId="0" applyNumberFormat="1" applyBorder="1" applyProtection="1">
      <protection locked="0"/>
    </xf>
    <xf numFmtId="44" fontId="0" fillId="0" borderId="8" xfId="2" applyFont="1" applyBorder="1" applyProtection="1">
      <protection locked="0"/>
    </xf>
    <xf numFmtId="167" fontId="0" fillId="0" borderId="9" xfId="2" applyNumberFormat="1" applyFont="1" applyBorder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172" fontId="0" fillId="0" borderId="84" xfId="0" applyNumberFormat="1" applyBorder="1" applyProtection="1"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0" xfId="0" applyFont="1" applyAlignment="1">
      <alignment horizont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tabSelected="1" workbookViewId="0"/>
  </sheetViews>
  <sheetFormatPr baseColWidth="10" defaultRowHeight="14.25" x14ac:dyDescent="0.2"/>
  <cols>
    <col min="7" max="7" width="14.125" customWidth="1"/>
  </cols>
  <sheetData>
    <row r="1" spans="1:1" ht="18" x14ac:dyDescent="0.25">
      <c r="A1" s="324" t="s">
        <v>212</v>
      </c>
    </row>
    <row r="3" spans="1:1" x14ac:dyDescent="0.2">
      <c r="A3" t="s">
        <v>193</v>
      </c>
    </row>
    <row r="4" spans="1:1" x14ac:dyDescent="0.2">
      <c r="A4" t="s">
        <v>197</v>
      </c>
    </row>
    <row r="5" spans="1:1" x14ac:dyDescent="0.2">
      <c r="A5" t="s">
        <v>194</v>
      </c>
    </row>
    <row r="6" spans="1:1" x14ac:dyDescent="0.2">
      <c r="A6" t="s">
        <v>195</v>
      </c>
    </row>
    <row r="7" spans="1:1" x14ac:dyDescent="0.2">
      <c r="A7" t="s">
        <v>196</v>
      </c>
    </row>
    <row r="8" spans="1:1" x14ac:dyDescent="0.2">
      <c r="A8" t="s">
        <v>198</v>
      </c>
    </row>
    <row r="10" spans="1:1" x14ac:dyDescent="0.2">
      <c r="A10" t="s">
        <v>220</v>
      </c>
    </row>
    <row r="11" spans="1:1" x14ac:dyDescent="0.2">
      <c r="A11" t="s">
        <v>221</v>
      </c>
    </row>
    <row r="12" spans="1:1" x14ac:dyDescent="0.2">
      <c r="A12" t="s">
        <v>222</v>
      </c>
    </row>
    <row r="13" spans="1:1" x14ac:dyDescent="0.2">
      <c r="A13" t="s">
        <v>223</v>
      </c>
    </row>
    <row r="14" spans="1:1" x14ac:dyDescent="0.2">
      <c r="A14" t="s">
        <v>224</v>
      </c>
    </row>
    <row r="15" spans="1:1" x14ac:dyDescent="0.2">
      <c r="A15" t="s">
        <v>225</v>
      </c>
    </row>
    <row r="18" spans="1:1" ht="15" x14ac:dyDescent="0.25">
      <c r="A18" s="2" t="s">
        <v>200</v>
      </c>
    </row>
    <row r="19" spans="1:1" ht="15" x14ac:dyDescent="0.25">
      <c r="A19" s="2" t="s">
        <v>199</v>
      </c>
    </row>
    <row r="22" spans="1:1" x14ac:dyDescent="0.2">
      <c r="A22" t="s">
        <v>330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zoomScaleNormal="100" workbookViewId="0">
      <selection activeCell="A15" sqref="A15"/>
    </sheetView>
  </sheetViews>
  <sheetFormatPr baseColWidth="10" defaultRowHeight="14.25" x14ac:dyDescent="0.2"/>
  <cols>
    <col min="1" max="1" width="28" customWidth="1"/>
    <col min="2" max="2" width="9.75" customWidth="1"/>
    <col min="3" max="3" width="11.75" customWidth="1"/>
    <col min="4" max="4" width="10.25" customWidth="1"/>
    <col min="5" max="5" width="11.5" customWidth="1"/>
    <col min="6" max="6" width="18.75" customWidth="1"/>
  </cols>
  <sheetData>
    <row r="1" spans="1:6" ht="15" x14ac:dyDescent="0.25">
      <c r="A1" s="267" t="s">
        <v>179</v>
      </c>
    </row>
    <row r="2" spans="1:6" ht="15" x14ac:dyDescent="0.25">
      <c r="A2" s="267" t="s">
        <v>180</v>
      </c>
    </row>
    <row r="4" spans="1:6" x14ac:dyDescent="0.2">
      <c r="A4" s="47" t="s">
        <v>107</v>
      </c>
      <c r="B4" s="507" t="s">
        <v>318</v>
      </c>
      <c r="C4" s="508"/>
      <c r="D4" s="509" t="s">
        <v>110</v>
      </c>
      <c r="E4" s="510"/>
      <c r="F4" s="268" t="s">
        <v>320</v>
      </c>
    </row>
    <row r="5" spans="1:6" x14ac:dyDescent="0.2">
      <c r="A5" s="47" t="s">
        <v>108</v>
      </c>
      <c r="B5" s="507" t="s">
        <v>319</v>
      </c>
      <c r="C5" s="508"/>
      <c r="D5" s="509" t="s">
        <v>111</v>
      </c>
      <c r="E5" s="510"/>
      <c r="F5" s="268" t="s">
        <v>321</v>
      </c>
    </row>
    <row r="6" spans="1:6" x14ac:dyDescent="0.2">
      <c r="A6" s="97" t="s">
        <v>109</v>
      </c>
      <c r="B6" s="516" t="s">
        <v>317</v>
      </c>
      <c r="C6" s="517"/>
      <c r="D6" s="509" t="s">
        <v>112</v>
      </c>
      <c r="E6" s="510"/>
      <c r="F6" s="268" t="s">
        <v>322</v>
      </c>
    </row>
    <row r="7" spans="1:6" x14ac:dyDescent="0.2">
      <c r="A7" s="95"/>
      <c r="B7" s="518"/>
      <c r="C7" s="519"/>
      <c r="D7" s="511" t="s">
        <v>327</v>
      </c>
      <c r="E7" s="512"/>
      <c r="F7" s="268">
        <v>13</v>
      </c>
    </row>
    <row r="8" spans="1:6" x14ac:dyDescent="0.2">
      <c r="A8" s="95"/>
      <c r="B8" s="518"/>
      <c r="C8" s="519"/>
      <c r="D8" s="509" t="s">
        <v>328</v>
      </c>
      <c r="E8" s="510"/>
      <c r="F8" s="269">
        <v>1</v>
      </c>
    </row>
    <row r="9" spans="1:6" x14ac:dyDescent="0.2">
      <c r="A9" s="95"/>
      <c r="B9" s="518"/>
      <c r="C9" s="519"/>
      <c r="D9" s="509" t="s">
        <v>329</v>
      </c>
      <c r="E9" s="510"/>
      <c r="F9" s="268">
        <f>F8-(F8*F10)</f>
        <v>0.9</v>
      </c>
    </row>
    <row r="10" spans="1:6" x14ac:dyDescent="0.2">
      <c r="A10" s="98"/>
      <c r="B10" s="520"/>
      <c r="C10" s="521"/>
      <c r="D10" s="509" t="s">
        <v>113</v>
      </c>
      <c r="E10" s="510"/>
      <c r="F10" s="270">
        <v>0.1</v>
      </c>
    </row>
    <row r="11" spans="1:6" x14ac:dyDescent="0.2">
      <c r="A11" s="52"/>
      <c r="B11" s="192"/>
      <c r="C11" s="192"/>
      <c r="D11" s="192"/>
      <c r="E11" s="192"/>
      <c r="F11" s="52"/>
    </row>
    <row r="12" spans="1:6" ht="20.25" x14ac:dyDescent="0.2">
      <c r="A12" s="513" t="s">
        <v>181</v>
      </c>
      <c r="B12" s="513"/>
      <c r="C12" s="513"/>
      <c r="D12" s="513"/>
      <c r="E12" s="513"/>
      <c r="F12" s="513"/>
    </row>
    <row r="14" spans="1:6" s="180" customFormat="1" ht="15.75" x14ac:dyDescent="0.25">
      <c r="A14" s="183" t="s">
        <v>121</v>
      </c>
      <c r="B14" s="184" t="s">
        <v>129</v>
      </c>
      <c r="C14" s="184" t="s">
        <v>99</v>
      </c>
      <c r="D14" s="184" t="s">
        <v>11</v>
      </c>
      <c r="E14" s="184" t="s">
        <v>149</v>
      </c>
      <c r="F14" s="184" t="s">
        <v>150</v>
      </c>
    </row>
    <row r="15" spans="1:6" x14ac:dyDescent="0.2">
      <c r="A15" s="277" t="s">
        <v>110</v>
      </c>
      <c r="B15" s="271">
        <v>3000</v>
      </c>
      <c r="C15" s="272">
        <v>1.8</v>
      </c>
      <c r="D15" s="198">
        <f>B15*C15</f>
        <v>5400</v>
      </c>
      <c r="E15" s="275">
        <f>F7</f>
        <v>13</v>
      </c>
      <c r="F15" s="193">
        <f>IF(D15&gt;0,D15/E15,0)</f>
        <v>415.38461538461536</v>
      </c>
    </row>
    <row r="16" spans="1:6" x14ac:dyDescent="0.2">
      <c r="A16" s="278" t="s">
        <v>130</v>
      </c>
      <c r="B16" s="273">
        <v>1</v>
      </c>
      <c r="C16" s="274">
        <v>3995.16</v>
      </c>
      <c r="D16" s="199">
        <f t="shared" ref="D16:D31" si="0">B16*C16</f>
        <v>3995.16</v>
      </c>
      <c r="E16" s="276">
        <v>15</v>
      </c>
      <c r="F16" s="194">
        <f t="shared" ref="F16:F31" si="1">IF(D16&gt;0,D16/E16,0)</f>
        <v>266.34399999999999</v>
      </c>
    </row>
    <row r="17" spans="1:6" x14ac:dyDescent="0.2">
      <c r="A17" s="278" t="s">
        <v>131</v>
      </c>
      <c r="B17" s="273">
        <v>1</v>
      </c>
      <c r="C17" s="274">
        <v>5390</v>
      </c>
      <c r="D17" s="199">
        <f t="shared" si="0"/>
        <v>5390</v>
      </c>
      <c r="E17" s="276">
        <v>13</v>
      </c>
      <c r="F17" s="194">
        <f t="shared" si="1"/>
        <v>414.61538461538464</v>
      </c>
    </row>
    <row r="18" spans="1:6" x14ac:dyDescent="0.2">
      <c r="A18" s="278" t="s">
        <v>132</v>
      </c>
      <c r="B18" s="273"/>
      <c r="C18" s="274"/>
      <c r="D18" s="199">
        <f t="shared" si="0"/>
        <v>0</v>
      </c>
      <c r="E18" s="276"/>
      <c r="F18" s="194">
        <f t="shared" si="1"/>
        <v>0</v>
      </c>
    </row>
    <row r="19" spans="1:6" x14ac:dyDescent="0.2">
      <c r="A19" s="278" t="s">
        <v>133</v>
      </c>
      <c r="B19" s="273"/>
      <c r="C19" s="274"/>
      <c r="D19" s="199">
        <f t="shared" si="0"/>
        <v>0</v>
      </c>
      <c r="E19" s="276"/>
      <c r="F19" s="194">
        <f t="shared" si="1"/>
        <v>0</v>
      </c>
    </row>
    <row r="20" spans="1:6" x14ac:dyDescent="0.2">
      <c r="A20" s="278" t="s">
        <v>124</v>
      </c>
      <c r="B20" s="273"/>
      <c r="C20" s="274"/>
      <c r="D20" s="199">
        <f t="shared" si="0"/>
        <v>0</v>
      </c>
      <c r="E20" s="276"/>
      <c r="F20" s="194">
        <f t="shared" si="1"/>
        <v>0</v>
      </c>
    </row>
    <row r="21" spans="1:6" x14ac:dyDescent="0.2">
      <c r="A21" s="278" t="s">
        <v>123</v>
      </c>
      <c r="B21" s="273"/>
      <c r="C21" s="274"/>
      <c r="D21" s="199">
        <f t="shared" si="0"/>
        <v>0</v>
      </c>
      <c r="E21" s="276"/>
      <c r="F21" s="194">
        <f t="shared" si="1"/>
        <v>0</v>
      </c>
    </row>
    <row r="22" spans="1:6" x14ac:dyDescent="0.2">
      <c r="A22" s="278" t="s">
        <v>122</v>
      </c>
      <c r="B22" s="273"/>
      <c r="C22" s="274"/>
      <c r="D22" s="199">
        <f t="shared" si="0"/>
        <v>0</v>
      </c>
      <c r="E22" s="276"/>
      <c r="F22" s="194">
        <f t="shared" si="1"/>
        <v>0</v>
      </c>
    </row>
    <row r="23" spans="1:6" x14ac:dyDescent="0.2">
      <c r="A23" s="278" t="s">
        <v>125</v>
      </c>
      <c r="B23" s="273"/>
      <c r="C23" s="274"/>
      <c r="D23" s="199">
        <f t="shared" si="0"/>
        <v>0</v>
      </c>
      <c r="E23" s="276"/>
      <c r="F23" s="194">
        <f t="shared" si="1"/>
        <v>0</v>
      </c>
    </row>
    <row r="24" spans="1:6" ht="13.9" x14ac:dyDescent="0.25">
      <c r="A24" s="278" t="s">
        <v>116</v>
      </c>
      <c r="B24" s="273"/>
      <c r="C24" s="274"/>
      <c r="D24" s="199">
        <f t="shared" si="0"/>
        <v>0</v>
      </c>
      <c r="E24" s="276">
        <f>F7</f>
        <v>13</v>
      </c>
      <c r="F24" s="194">
        <f t="shared" si="1"/>
        <v>0</v>
      </c>
    </row>
    <row r="25" spans="1:6" x14ac:dyDescent="0.2">
      <c r="A25" s="278" t="s">
        <v>134</v>
      </c>
      <c r="B25" s="273">
        <v>1</v>
      </c>
      <c r="C25" s="274">
        <v>650</v>
      </c>
      <c r="D25" s="199">
        <f t="shared" si="0"/>
        <v>650</v>
      </c>
      <c r="E25" s="276">
        <f>F7</f>
        <v>13</v>
      </c>
      <c r="F25" s="194">
        <f t="shared" si="1"/>
        <v>50</v>
      </c>
    </row>
    <row r="26" spans="1:6" x14ac:dyDescent="0.2">
      <c r="A26" s="278" t="s">
        <v>127</v>
      </c>
      <c r="B26" s="273"/>
      <c r="C26" s="274"/>
      <c r="D26" s="199">
        <f t="shared" si="0"/>
        <v>0</v>
      </c>
      <c r="E26" s="276"/>
      <c r="F26" s="194">
        <f t="shared" si="1"/>
        <v>0</v>
      </c>
    </row>
    <row r="27" spans="1:6" x14ac:dyDescent="0.2">
      <c r="A27" s="278" t="s">
        <v>126</v>
      </c>
      <c r="B27" s="273"/>
      <c r="C27" s="274"/>
      <c r="D27" s="199">
        <f t="shared" si="0"/>
        <v>0</v>
      </c>
      <c r="E27" s="276"/>
      <c r="F27" s="194">
        <f t="shared" si="1"/>
        <v>0</v>
      </c>
    </row>
    <row r="28" spans="1:6" x14ac:dyDescent="0.2">
      <c r="A28" s="278" t="s">
        <v>135</v>
      </c>
      <c r="B28" s="273">
        <v>1</v>
      </c>
      <c r="C28" s="274">
        <v>120</v>
      </c>
      <c r="D28" s="199">
        <f t="shared" si="0"/>
        <v>120</v>
      </c>
      <c r="E28" s="276">
        <f>F7</f>
        <v>13</v>
      </c>
      <c r="F28" s="194">
        <f t="shared" si="1"/>
        <v>9.2307692307692299</v>
      </c>
    </row>
    <row r="29" spans="1:6" x14ac:dyDescent="0.2">
      <c r="A29" s="278" t="s">
        <v>142</v>
      </c>
      <c r="B29" s="273">
        <v>1</v>
      </c>
      <c r="C29" s="274">
        <v>579.54</v>
      </c>
      <c r="D29" s="199">
        <f t="shared" si="0"/>
        <v>579.54</v>
      </c>
      <c r="E29" s="276">
        <f>F7</f>
        <v>13</v>
      </c>
      <c r="F29" s="194">
        <f t="shared" si="1"/>
        <v>44.58</v>
      </c>
    </row>
    <row r="30" spans="1:6" x14ac:dyDescent="0.2">
      <c r="A30" s="278" t="s">
        <v>231</v>
      </c>
      <c r="B30" s="273">
        <v>50</v>
      </c>
      <c r="C30" s="274">
        <v>2.5</v>
      </c>
      <c r="D30" s="199">
        <f t="shared" si="0"/>
        <v>125</v>
      </c>
      <c r="E30" s="276">
        <f>F7</f>
        <v>13</v>
      </c>
      <c r="F30" s="194">
        <f t="shared" si="1"/>
        <v>9.615384615384615</v>
      </c>
    </row>
    <row r="31" spans="1:6" x14ac:dyDescent="0.2">
      <c r="A31" s="277" t="s">
        <v>155</v>
      </c>
      <c r="B31" s="271">
        <v>1</v>
      </c>
      <c r="C31" s="272">
        <v>678.65</v>
      </c>
      <c r="D31" s="198">
        <f t="shared" si="0"/>
        <v>678.65</v>
      </c>
      <c r="E31" s="275">
        <f>F7</f>
        <v>13</v>
      </c>
      <c r="F31" s="193">
        <f t="shared" si="1"/>
        <v>52.20384615384615</v>
      </c>
    </row>
    <row r="32" spans="1:6" ht="15" x14ac:dyDescent="0.25">
      <c r="A32" s="182" t="s">
        <v>136</v>
      </c>
      <c r="B32" s="188"/>
      <c r="C32" s="195"/>
      <c r="D32" s="200">
        <f>SUM(D15:D31)</f>
        <v>16938.350000000002</v>
      </c>
      <c r="E32" s="188"/>
      <c r="F32" s="195">
        <f>SUM(F15:F31)</f>
        <v>1261.9739999999999</v>
      </c>
    </row>
    <row r="34" spans="1:6" s="180" customFormat="1" ht="15.75" x14ac:dyDescent="0.25">
      <c r="A34" s="183" t="s">
        <v>144</v>
      </c>
      <c r="B34" s="191" t="s">
        <v>137</v>
      </c>
      <c r="C34" s="184" t="s">
        <v>151</v>
      </c>
      <c r="D34" s="184" t="s">
        <v>11</v>
      </c>
      <c r="E34" s="184" t="s">
        <v>149</v>
      </c>
      <c r="F34" s="184" t="s">
        <v>150</v>
      </c>
    </row>
    <row r="35" spans="1:6" x14ac:dyDescent="0.2">
      <c r="A35" s="277" t="s">
        <v>128</v>
      </c>
      <c r="B35" s="279">
        <v>5</v>
      </c>
      <c r="C35" s="280">
        <f>Ertragsgrenzen!$B$22</f>
        <v>25</v>
      </c>
      <c r="D35" s="201">
        <f>B35*C35</f>
        <v>125</v>
      </c>
      <c r="E35" s="275">
        <f>F7</f>
        <v>13</v>
      </c>
      <c r="F35" s="193">
        <f>IF(D35&gt;0,D35/E35,0)</f>
        <v>9.615384615384615</v>
      </c>
    </row>
    <row r="36" spans="1:6" x14ac:dyDescent="0.2">
      <c r="A36" s="278" t="s">
        <v>138</v>
      </c>
      <c r="B36" s="281">
        <v>40</v>
      </c>
      <c r="C36" s="282">
        <f>Ertragsgrenzen!$B$21</f>
        <v>14</v>
      </c>
      <c r="D36" s="202">
        <f t="shared" ref="D36:D40" si="2">B36*C36</f>
        <v>560</v>
      </c>
      <c r="E36" s="276">
        <f>F7</f>
        <v>13</v>
      </c>
      <c r="F36" s="194">
        <f t="shared" ref="F36:F40" si="3">IF(D36&gt;0,D36/E36,0)</f>
        <v>43.07692307692308</v>
      </c>
    </row>
    <row r="37" spans="1:6" x14ac:dyDescent="0.2">
      <c r="A37" s="278" t="s">
        <v>139</v>
      </c>
      <c r="B37" s="281"/>
      <c r="C37" s="282">
        <f>Ertragsgrenzen!$B$21</f>
        <v>14</v>
      </c>
      <c r="D37" s="202">
        <f t="shared" si="2"/>
        <v>0</v>
      </c>
      <c r="E37" s="275">
        <f>F7</f>
        <v>13</v>
      </c>
      <c r="F37" s="194">
        <f t="shared" si="3"/>
        <v>0</v>
      </c>
    </row>
    <row r="38" spans="1:6" x14ac:dyDescent="0.2">
      <c r="A38" s="278" t="s">
        <v>140</v>
      </c>
      <c r="B38" s="281">
        <v>70</v>
      </c>
      <c r="C38" s="282">
        <f>Ertragsgrenzen!$B$21</f>
        <v>14</v>
      </c>
      <c r="D38" s="202">
        <f t="shared" si="2"/>
        <v>980</v>
      </c>
      <c r="E38" s="276">
        <f>F7</f>
        <v>13</v>
      </c>
      <c r="F38" s="194">
        <f t="shared" si="3"/>
        <v>75.384615384615387</v>
      </c>
    </row>
    <row r="39" spans="1:6" x14ac:dyDescent="0.2">
      <c r="A39" s="278" t="s">
        <v>157</v>
      </c>
      <c r="B39" s="281">
        <v>25</v>
      </c>
      <c r="C39" s="282">
        <f>Ertragsgrenzen!$B$21</f>
        <v>14</v>
      </c>
      <c r="D39" s="202">
        <f t="shared" si="2"/>
        <v>350</v>
      </c>
      <c r="E39" s="275">
        <f>F7</f>
        <v>13</v>
      </c>
      <c r="F39" s="194">
        <f t="shared" si="3"/>
        <v>26.923076923076923</v>
      </c>
    </row>
    <row r="40" spans="1:6" x14ac:dyDescent="0.2">
      <c r="A40" s="277" t="s">
        <v>141</v>
      </c>
      <c r="B40" s="279">
        <v>70</v>
      </c>
      <c r="C40" s="280">
        <f>Ertragsgrenzen!$B$21</f>
        <v>14</v>
      </c>
      <c r="D40" s="201">
        <f t="shared" si="2"/>
        <v>980</v>
      </c>
      <c r="E40" s="276">
        <f>F7</f>
        <v>13</v>
      </c>
      <c r="F40" s="193">
        <f t="shared" si="3"/>
        <v>75.384615384615387</v>
      </c>
    </row>
    <row r="41" spans="1:6" ht="15" x14ac:dyDescent="0.25">
      <c r="A41" s="182" t="s">
        <v>143</v>
      </c>
      <c r="B41" s="227">
        <f>SUM(B35:B40)</f>
        <v>210</v>
      </c>
      <c r="C41" s="186"/>
      <c r="D41" s="203">
        <f>SUM(D35:D40)</f>
        <v>2995</v>
      </c>
      <c r="E41" s="188"/>
      <c r="F41" s="195">
        <f>SUM(F35:F40)</f>
        <v>230.38461538461542</v>
      </c>
    </row>
    <row r="42" spans="1:6" ht="15" thickBot="1" x14ac:dyDescent="0.25"/>
    <row r="43" spans="1:6" ht="15.75" thickBot="1" x14ac:dyDescent="0.3">
      <c r="A43" s="182" t="s">
        <v>115</v>
      </c>
      <c r="B43" s="189"/>
      <c r="C43" s="190"/>
      <c r="D43" s="321">
        <v>1000</v>
      </c>
      <c r="E43" s="320">
        <f>F7</f>
        <v>13</v>
      </c>
      <c r="F43" s="195">
        <f>IF(D43&gt;0,D43/E43,0)</f>
        <v>76.92307692307692</v>
      </c>
    </row>
    <row r="45" spans="1:6" s="180" customFormat="1" ht="15.75" x14ac:dyDescent="0.25">
      <c r="A45" s="183" t="s">
        <v>145</v>
      </c>
      <c r="B45" s="184" t="s">
        <v>137</v>
      </c>
      <c r="C45" s="184" t="s">
        <v>151</v>
      </c>
      <c r="D45" s="184" t="s">
        <v>11</v>
      </c>
      <c r="E45" s="184" t="s">
        <v>149</v>
      </c>
      <c r="F45" s="184" t="s">
        <v>150</v>
      </c>
    </row>
    <row r="46" spans="1:6" x14ac:dyDescent="0.2">
      <c r="A46" s="277" t="s">
        <v>156</v>
      </c>
      <c r="B46" s="275">
        <v>1</v>
      </c>
      <c r="C46" s="272">
        <v>169.8</v>
      </c>
      <c r="D46" s="204">
        <f>B46*C46</f>
        <v>169.8</v>
      </c>
      <c r="E46" s="275">
        <f>F7</f>
        <v>13</v>
      </c>
      <c r="F46" s="197">
        <f>IF(D46&gt;0,D46/E46,0)</f>
        <v>13.061538461538463</v>
      </c>
    </row>
    <row r="47" spans="1:6" x14ac:dyDescent="0.2">
      <c r="A47" s="283" t="s">
        <v>146</v>
      </c>
      <c r="B47" s="284">
        <v>22</v>
      </c>
      <c r="C47" s="285">
        <f>Ertragsgrenzen!$B$21</f>
        <v>14</v>
      </c>
      <c r="D47" s="198">
        <f>B47*C47</f>
        <v>308</v>
      </c>
      <c r="E47" s="284">
        <f>F7</f>
        <v>13</v>
      </c>
      <c r="F47" s="205">
        <f>IF(D47&gt;0,D47/E47,0)</f>
        <v>23.692307692307693</v>
      </c>
    </row>
    <row r="48" spans="1:6" ht="15" x14ac:dyDescent="0.25">
      <c r="A48" s="182" t="s">
        <v>147</v>
      </c>
      <c r="B48" s="188">
        <f>SUM(B46:B47)</f>
        <v>23</v>
      </c>
      <c r="C48" s="195"/>
      <c r="D48" s="200">
        <f>SUM(D46:D47)</f>
        <v>477.8</v>
      </c>
      <c r="E48" s="188"/>
      <c r="F48" s="195">
        <f>SUM(F46:F47)</f>
        <v>36.753846153846155</v>
      </c>
    </row>
    <row r="50" spans="1:6" ht="15" thickBot="1" x14ac:dyDescent="0.25"/>
    <row r="51" spans="1:6" ht="18.75" thickBot="1" x14ac:dyDescent="0.3">
      <c r="A51" s="185" t="s">
        <v>148</v>
      </c>
      <c r="B51" s="228">
        <f>SUM(B47+B41)</f>
        <v>232</v>
      </c>
      <c r="C51" s="514">
        <f>SUM(D48+D43+D41+D32)</f>
        <v>21411.15</v>
      </c>
      <c r="D51" s="515"/>
      <c r="E51" s="187"/>
      <c r="F51" s="196">
        <f>SUM(F48+F43+F41+F32)</f>
        <v>1606.0355384615384</v>
      </c>
    </row>
  </sheetData>
  <sheetProtection password="DC5E" sheet="1" objects="1" scenarios="1" selectLockedCells="1"/>
  <mergeCells count="12">
    <mergeCell ref="D10:E10"/>
    <mergeCell ref="A12:F12"/>
    <mergeCell ref="C51:D51"/>
    <mergeCell ref="B6:C10"/>
    <mergeCell ref="B5:C5"/>
    <mergeCell ref="D9:E9"/>
    <mergeCell ref="B4:C4"/>
    <mergeCell ref="D8:E8"/>
    <mergeCell ref="D7:E7"/>
    <mergeCell ref="D6:E6"/>
    <mergeCell ref="D5:E5"/>
    <mergeCell ref="D4:E4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 C35:C40 C47 E35:E40 E46:E47 F9 E18:E3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F10" sqref="F10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7" t="s">
        <v>179</v>
      </c>
    </row>
    <row r="2" spans="1:6" ht="15" x14ac:dyDescent="0.25">
      <c r="A2" s="267" t="s">
        <v>180</v>
      </c>
    </row>
    <row r="4" spans="1:6" x14ac:dyDescent="0.2">
      <c r="A4" s="47" t="s">
        <v>107</v>
      </c>
      <c r="B4" s="539" t="str">
        <f>'Investitionskosten Anlage'!B4:C4</f>
        <v>Rote Johannisbeere</v>
      </c>
      <c r="C4" s="540"/>
      <c r="D4" s="509" t="s">
        <v>111</v>
      </c>
      <c r="E4" s="510"/>
      <c r="F4" s="179" t="str">
        <f>'Investitionskosten Anlage'!F5</f>
        <v>3m</v>
      </c>
    </row>
    <row r="5" spans="1:6" ht="13.9" customHeight="1" x14ac:dyDescent="0.2">
      <c r="A5" s="47" t="s">
        <v>108</v>
      </c>
      <c r="B5" s="539" t="str">
        <f>'Investitionskosten Anlage'!B5:C5</f>
        <v>Rovada</v>
      </c>
      <c r="C5" s="540"/>
      <c r="D5" s="509" t="s">
        <v>112</v>
      </c>
      <c r="E5" s="510"/>
      <c r="F5" s="179" t="str">
        <f>'Investitionskosten Anlage'!F6</f>
        <v>1m</v>
      </c>
    </row>
    <row r="6" spans="1:6" x14ac:dyDescent="0.2">
      <c r="A6" s="97" t="s">
        <v>109</v>
      </c>
      <c r="B6" s="541" t="str">
        <f>'Investitionskosten Anlage'!B6:C10</f>
        <v>Bodenkultur, Freiland, 
3-Ast-Hecke</v>
      </c>
      <c r="C6" s="542"/>
      <c r="D6" s="511" t="s">
        <v>327</v>
      </c>
      <c r="E6" s="512"/>
      <c r="F6" s="179">
        <f>'Investitionskosten Anlage'!F7</f>
        <v>13</v>
      </c>
    </row>
    <row r="7" spans="1:6" x14ac:dyDescent="0.2">
      <c r="A7" s="95"/>
      <c r="B7" s="543"/>
      <c r="C7" s="544"/>
      <c r="D7" s="509" t="s">
        <v>328</v>
      </c>
      <c r="E7" s="510"/>
      <c r="F7" s="230">
        <f>'Investitionskosten Anlage'!F8</f>
        <v>1</v>
      </c>
    </row>
    <row r="8" spans="1:6" x14ac:dyDescent="0.2">
      <c r="A8" s="95"/>
      <c r="B8" s="543"/>
      <c r="C8" s="544"/>
      <c r="D8" s="509" t="s">
        <v>329</v>
      </c>
      <c r="E8" s="510"/>
      <c r="F8" s="179">
        <f>'Investitionskosten Anlage'!F9</f>
        <v>0.9</v>
      </c>
    </row>
    <row r="9" spans="1:6" x14ac:dyDescent="0.2">
      <c r="A9" s="95"/>
      <c r="B9" s="543"/>
      <c r="C9" s="544"/>
      <c r="D9" s="509" t="s">
        <v>113</v>
      </c>
      <c r="E9" s="510"/>
      <c r="F9" s="172">
        <f>'Investitionskosten Anlage'!F10</f>
        <v>0.1</v>
      </c>
    </row>
    <row r="10" spans="1:6" x14ac:dyDescent="0.2">
      <c r="A10" s="98"/>
      <c r="B10" s="545"/>
      <c r="C10" s="546"/>
      <c r="D10" s="547" t="s">
        <v>185</v>
      </c>
      <c r="E10" s="548"/>
      <c r="F10" s="268">
        <v>3000</v>
      </c>
    </row>
    <row r="11" spans="1:6" x14ac:dyDescent="0.2">
      <c r="A11" s="47" t="s">
        <v>152</v>
      </c>
      <c r="B11" s="550">
        <v>18000</v>
      </c>
      <c r="C11" s="551"/>
      <c r="D11" s="552" t="s">
        <v>186</v>
      </c>
      <c r="E11" s="512"/>
      <c r="F11" s="322">
        <f>IF(F10&gt;0,B11/F10,0)</f>
        <v>6</v>
      </c>
    </row>
    <row r="13" spans="1:6" ht="21" x14ac:dyDescent="0.4">
      <c r="A13" s="549" t="s">
        <v>168</v>
      </c>
      <c r="B13" s="549"/>
      <c r="C13" s="549"/>
      <c r="D13" s="549"/>
      <c r="E13" s="549"/>
      <c r="F13" s="549"/>
    </row>
    <row r="14" spans="1:6" ht="13.9" x14ac:dyDescent="0.25">
      <c r="F14" s="174"/>
    </row>
    <row r="15" spans="1:6" x14ac:dyDescent="0.2">
      <c r="A15" s="524" t="s">
        <v>169</v>
      </c>
      <c r="B15" s="524"/>
      <c r="C15" s="524"/>
      <c r="D15" s="524"/>
      <c r="E15" s="524"/>
      <c r="F15" s="524"/>
    </row>
    <row r="16" spans="1:6" ht="15.6" x14ac:dyDescent="0.3">
      <c r="A16" s="535"/>
      <c r="B16" s="536"/>
      <c r="C16" s="191" t="s">
        <v>129</v>
      </c>
      <c r="D16" s="191" t="s">
        <v>114</v>
      </c>
      <c r="E16" s="184" t="s">
        <v>11</v>
      </c>
      <c r="F16" s="191" t="s">
        <v>117</v>
      </c>
    </row>
    <row r="17" spans="1:6" x14ac:dyDescent="0.2">
      <c r="A17" s="537" t="s">
        <v>153</v>
      </c>
      <c r="B17" s="538"/>
      <c r="C17" s="538"/>
      <c r="D17" s="209"/>
      <c r="E17" s="214">
        <f>'Investitionskosten Anlage'!F51</f>
        <v>1606.0355384615384</v>
      </c>
      <c r="F17" s="211">
        <f>IF(B$11&gt;0,E17/B$11,0)</f>
        <v>8.9224196581196583E-2</v>
      </c>
    </row>
    <row r="18" spans="1:6" ht="13.9" x14ac:dyDescent="0.25">
      <c r="A18" s="522" t="s">
        <v>115</v>
      </c>
      <c r="B18" s="523"/>
      <c r="C18" s="281">
        <f>F7</f>
        <v>1</v>
      </c>
      <c r="D18" s="286">
        <f>'Investitionskosten Anlage'!D43</f>
        <v>1000</v>
      </c>
      <c r="E18" s="199">
        <f>C18*D18</f>
        <v>1000</v>
      </c>
      <c r="F18" s="194">
        <f t="shared" ref="F18:F34" si="0">IF(B$11&gt;0,E18/B$11,0)</f>
        <v>5.5555555555555552E-2</v>
      </c>
    </row>
    <row r="19" spans="1:6" x14ac:dyDescent="0.2">
      <c r="A19" s="522" t="s">
        <v>191</v>
      </c>
      <c r="B19" s="523"/>
      <c r="C19" s="281">
        <v>1</v>
      </c>
      <c r="D19" s="286">
        <v>252.45</v>
      </c>
      <c r="E19" s="199">
        <f t="shared" ref="E19:E32" si="1">C19*D19</f>
        <v>252.45</v>
      </c>
      <c r="F19" s="194">
        <f t="shared" si="0"/>
        <v>1.4024999999999999E-2</v>
      </c>
    </row>
    <row r="20" spans="1:6" ht="13.9" x14ac:dyDescent="0.25">
      <c r="A20" s="522" t="s">
        <v>192</v>
      </c>
      <c r="B20" s="523"/>
      <c r="C20" s="281">
        <v>1</v>
      </c>
      <c r="D20" s="286">
        <v>869.2</v>
      </c>
      <c r="E20" s="199">
        <f t="shared" si="1"/>
        <v>869.2</v>
      </c>
      <c r="F20" s="194">
        <f t="shared" si="0"/>
        <v>4.8288888888888888E-2</v>
      </c>
    </row>
    <row r="21" spans="1:6" x14ac:dyDescent="0.2">
      <c r="A21" s="522" t="s">
        <v>230</v>
      </c>
      <c r="B21" s="523"/>
      <c r="C21" s="281">
        <v>150</v>
      </c>
      <c r="D21" s="286">
        <v>2.5</v>
      </c>
      <c r="E21" s="199">
        <f t="shared" si="1"/>
        <v>375</v>
      </c>
      <c r="F21" s="194">
        <f t="shared" si="0"/>
        <v>2.0833333333333332E-2</v>
      </c>
    </row>
    <row r="22" spans="1:6" x14ac:dyDescent="0.2">
      <c r="A22" s="522" t="s">
        <v>154</v>
      </c>
      <c r="B22" s="523"/>
      <c r="C22" s="281"/>
      <c r="D22" s="286"/>
      <c r="E22" s="199">
        <f t="shared" si="1"/>
        <v>0</v>
      </c>
      <c r="F22" s="194">
        <f t="shared" si="0"/>
        <v>0</v>
      </c>
    </row>
    <row r="23" spans="1:6" ht="13.9" x14ac:dyDescent="0.25">
      <c r="A23" s="522" t="s">
        <v>156</v>
      </c>
      <c r="B23" s="523"/>
      <c r="C23" s="281">
        <v>1</v>
      </c>
      <c r="D23" s="286">
        <v>989.15</v>
      </c>
      <c r="E23" s="199">
        <f t="shared" si="1"/>
        <v>989.15</v>
      </c>
      <c r="F23" s="194">
        <f t="shared" si="0"/>
        <v>5.4952777777777774E-2</v>
      </c>
    </row>
    <row r="24" spans="1:6" x14ac:dyDescent="0.2">
      <c r="A24" s="522" t="s">
        <v>201</v>
      </c>
      <c r="B24" s="523"/>
      <c r="C24" s="281"/>
      <c r="D24" s="286"/>
      <c r="E24" s="199">
        <f t="shared" si="1"/>
        <v>0</v>
      </c>
      <c r="F24" s="194">
        <f t="shared" si="0"/>
        <v>0</v>
      </c>
    </row>
    <row r="25" spans="1:6" x14ac:dyDescent="0.2">
      <c r="A25" s="522" t="s">
        <v>202</v>
      </c>
      <c r="B25" s="523"/>
      <c r="C25" s="281">
        <v>20</v>
      </c>
      <c r="D25" s="286">
        <f>Ertragsgrenzen!$B$21</f>
        <v>14</v>
      </c>
      <c r="E25" s="199">
        <f t="shared" si="1"/>
        <v>280</v>
      </c>
      <c r="F25" s="194">
        <f t="shared" si="0"/>
        <v>1.5555555555555555E-2</v>
      </c>
    </row>
    <row r="26" spans="1:6" x14ac:dyDescent="0.2">
      <c r="A26" s="522" t="s">
        <v>203</v>
      </c>
      <c r="B26" s="523"/>
      <c r="C26" s="281">
        <v>250</v>
      </c>
      <c r="D26" s="286">
        <f>Ertragsgrenzen!$B$21</f>
        <v>14</v>
      </c>
      <c r="E26" s="199">
        <f t="shared" si="1"/>
        <v>3500</v>
      </c>
      <c r="F26" s="194">
        <f t="shared" si="0"/>
        <v>0.19444444444444445</v>
      </c>
    </row>
    <row r="27" spans="1:6" x14ac:dyDescent="0.2">
      <c r="A27" s="522" t="s">
        <v>204</v>
      </c>
      <c r="B27" s="523"/>
      <c r="C27" s="281">
        <v>15</v>
      </c>
      <c r="D27" s="286">
        <f>Ertragsgrenzen!$B$22</f>
        <v>25</v>
      </c>
      <c r="E27" s="199">
        <f t="shared" si="1"/>
        <v>375</v>
      </c>
      <c r="F27" s="194">
        <f t="shared" si="0"/>
        <v>2.0833333333333332E-2</v>
      </c>
    </row>
    <row r="28" spans="1:6" x14ac:dyDescent="0.2">
      <c r="A28" s="522" t="s">
        <v>313</v>
      </c>
      <c r="B28" s="523"/>
      <c r="C28" s="281">
        <v>15</v>
      </c>
      <c r="D28" s="286">
        <f>Ertragsgrenzen!$B$21</f>
        <v>14</v>
      </c>
      <c r="E28" s="199">
        <f t="shared" si="1"/>
        <v>210</v>
      </c>
      <c r="F28" s="194">
        <f t="shared" si="0"/>
        <v>1.1666666666666667E-2</v>
      </c>
    </row>
    <row r="29" spans="1:6" x14ac:dyDescent="0.2">
      <c r="A29" s="522" t="s">
        <v>205</v>
      </c>
      <c r="B29" s="523"/>
      <c r="C29" s="281">
        <v>34</v>
      </c>
      <c r="D29" s="286">
        <f>Ertragsgrenzen!$B$22</f>
        <v>25</v>
      </c>
      <c r="E29" s="199">
        <f t="shared" si="1"/>
        <v>850</v>
      </c>
      <c r="F29" s="194">
        <f t="shared" si="0"/>
        <v>4.7222222222222221E-2</v>
      </c>
    </row>
    <row r="30" spans="1:6" x14ac:dyDescent="0.2">
      <c r="A30" s="522" t="s">
        <v>206</v>
      </c>
      <c r="B30" s="523"/>
      <c r="C30" s="281"/>
      <c r="D30" s="286">
        <f>Ertragsgrenzen!$B$21</f>
        <v>14</v>
      </c>
      <c r="E30" s="199">
        <f t="shared" si="1"/>
        <v>0</v>
      </c>
      <c r="F30" s="194">
        <f t="shared" si="0"/>
        <v>0</v>
      </c>
    </row>
    <row r="31" spans="1:6" x14ac:dyDescent="0.2">
      <c r="A31" s="522" t="s">
        <v>207</v>
      </c>
      <c r="B31" s="523"/>
      <c r="C31" s="281"/>
      <c r="D31" s="286">
        <f>Ertragsgrenzen!$B$21</f>
        <v>14</v>
      </c>
      <c r="E31" s="199">
        <f t="shared" si="1"/>
        <v>0</v>
      </c>
      <c r="F31" s="194">
        <f t="shared" si="0"/>
        <v>0</v>
      </c>
    </row>
    <row r="32" spans="1:6" x14ac:dyDescent="0.2">
      <c r="A32" s="522" t="s">
        <v>208</v>
      </c>
      <c r="B32" s="523"/>
      <c r="C32" s="287"/>
      <c r="D32" s="286">
        <f>Ertragsgrenzen!$B$21</f>
        <v>14</v>
      </c>
      <c r="E32" s="199">
        <f t="shared" si="1"/>
        <v>0</v>
      </c>
      <c r="F32" s="194">
        <f t="shared" si="0"/>
        <v>0</v>
      </c>
    </row>
    <row r="33" spans="1:10" x14ac:dyDescent="0.2">
      <c r="A33" s="533" t="s">
        <v>177</v>
      </c>
      <c r="B33" s="534"/>
      <c r="C33" s="526"/>
      <c r="D33" s="288">
        <v>0.02</v>
      </c>
      <c r="E33" s="193">
        <f>(SUM('Investitionskosten Anlage'!D16:D22)+SUM('Investitionskosten Anlage'!D27:D28))*'Einzelkosten Vollertrag'!D33</f>
        <v>190.10319999999999</v>
      </c>
      <c r="F33" s="193">
        <f t="shared" si="0"/>
        <v>1.0561288888888888E-2</v>
      </c>
    </row>
    <row r="34" spans="1:10" ht="15" x14ac:dyDescent="0.25">
      <c r="A34" s="529" t="s">
        <v>158</v>
      </c>
      <c r="B34" s="530"/>
      <c r="C34" s="530"/>
      <c r="D34" s="207"/>
      <c r="E34" s="200">
        <f>SUM(E17:E33)</f>
        <v>10496.938738461538</v>
      </c>
      <c r="F34" s="195">
        <f t="shared" si="0"/>
        <v>0.58316326324786327</v>
      </c>
    </row>
    <row r="35" spans="1:10" x14ac:dyDescent="0.2">
      <c r="A35" s="173"/>
      <c r="B35" s="173"/>
    </row>
    <row r="36" spans="1:10" x14ac:dyDescent="0.2">
      <c r="A36" s="524" t="s">
        <v>170</v>
      </c>
      <c r="B36" s="524"/>
      <c r="C36" s="524"/>
      <c r="D36" s="524"/>
      <c r="E36" s="524"/>
      <c r="F36" s="524"/>
    </row>
    <row r="37" spans="1:10" ht="16.5" thickBot="1" x14ac:dyDescent="0.3">
      <c r="A37" s="206"/>
      <c r="B37" s="191"/>
      <c r="C37" s="184" t="s">
        <v>129</v>
      </c>
      <c r="D37" s="191" t="s">
        <v>114</v>
      </c>
      <c r="E37" s="184" t="s">
        <v>11</v>
      </c>
      <c r="F37" s="184" t="s">
        <v>117</v>
      </c>
    </row>
    <row r="38" spans="1:10" ht="15.75" thickBot="1" x14ac:dyDescent="0.3">
      <c r="A38" s="531" t="s">
        <v>209</v>
      </c>
      <c r="B38" s="532"/>
      <c r="C38" s="271">
        <f>IF(J38&gt;0,B11/J38,0)</f>
        <v>1440</v>
      </c>
      <c r="D38" s="289">
        <f>Ertragsgrenzen!$B$21</f>
        <v>14</v>
      </c>
      <c r="E38" s="198">
        <f>C38*D38</f>
        <v>20160</v>
      </c>
      <c r="F38" s="193">
        <f>IF(B$11&gt;0,E38/B$11,0)</f>
        <v>1.1200000000000001</v>
      </c>
      <c r="H38" s="317" t="s">
        <v>182</v>
      </c>
      <c r="I38" s="318"/>
      <c r="J38" s="319">
        <v>12.5</v>
      </c>
    </row>
    <row r="39" spans="1:10" ht="15" thickBot="1" x14ac:dyDescent="0.25">
      <c r="A39" s="522" t="s">
        <v>210</v>
      </c>
      <c r="B39" s="523"/>
      <c r="C39" s="273">
        <v>50</v>
      </c>
      <c r="D39" s="286">
        <f>Ertragsgrenzen!$B$22</f>
        <v>25</v>
      </c>
      <c r="E39" s="199">
        <f t="shared" ref="E39:E44" si="2">C39*D39</f>
        <v>1250</v>
      </c>
      <c r="F39" s="194">
        <f t="shared" ref="F39:F45" si="3">IF(B$11&gt;0,E39/B$11,0)</f>
        <v>6.9444444444444448E-2</v>
      </c>
    </row>
    <row r="40" spans="1:10" ht="15.75" thickBot="1" x14ac:dyDescent="0.3">
      <c r="A40" s="522" t="s">
        <v>190</v>
      </c>
      <c r="B40" s="523"/>
      <c r="C40" s="273">
        <f>B11*J42</f>
        <v>36000</v>
      </c>
      <c r="D40" s="286">
        <v>0.04</v>
      </c>
      <c r="E40" s="199">
        <f t="shared" si="2"/>
        <v>1440</v>
      </c>
      <c r="F40" s="194">
        <f t="shared" si="3"/>
        <v>0.08</v>
      </c>
      <c r="H40" s="317" t="s">
        <v>183</v>
      </c>
      <c r="I40" s="318"/>
      <c r="J40" s="319" t="s">
        <v>314</v>
      </c>
    </row>
    <row r="41" spans="1:10" ht="15" thickBot="1" x14ac:dyDescent="0.25">
      <c r="A41" s="522" t="s">
        <v>188</v>
      </c>
      <c r="B41" s="523"/>
      <c r="C41" s="273">
        <f>B11*J42</f>
        <v>36000</v>
      </c>
      <c r="D41" s="485">
        <f>IF(C41&gt;0,SUM(Deckungsbeitrag!F25:F26)/C41,0)</f>
        <v>0.14042000000000002</v>
      </c>
      <c r="E41" s="199">
        <f t="shared" si="2"/>
        <v>5055.1200000000008</v>
      </c>
      <c r="F41" s="194">
        <f t="shared" si="3"/>
        <v>0.28084000000000003</v>
      </c>
    </row>
    <row r="42" spans="1:10" ht="15.75" thickBot="1" x14ac:dyDescent="0.3">
      <c r="A42" s="522" t="s">
        <v>189</v>
      </c>
      <c r="B42" s="523"/>
      <c r="C42" s="273">
        <f>B11</f>
        <v>18000</v>
      </c>
      <c r="D42" s="286">
        <v>0.05</v>
      </c>
      <c r="E42" s="199">
        <f t="shared" si="2"/>
        <v>900</v>
      </c>
      <c r="F42" s="194">
        <f t="shared" si="3"/>
        <v>0.05</v>
      </c>
      <c r="H42" s="317" t="s">
        <v>184</v>
      </c>
      <c r="I42" s="318"/>
      <c r="J42" s="319">
        <v>2</v>
      </c>
    </row>
    <row r="43" spans="1:10" x14ac:dyDescent="0.2">
      <c r="A43" s="522" t="s">
        <v>104</v>
      </c>
      <c r="B43" s="523"/>
      <c r="C43" s="273"/>
      <c r="D43" s="286"/>
      <c r="E43" s="199">
        <f t="shared" si="2"/>
        <v>0</v>
      </c>
      <c r="F43" s="194">
        <f t="shared" si="3"/>
        <v>0</v>
      </c>
    </row>
    <row r="44" spans="1:10" x14ac:dyDescent="0.2">
      <c r="A44" s="525" t="s">
        <v>156</v>
      </c>
      <c r="B44" s="526"/>
      <c r="C44" s="290">
        <v>1</v>
      </c>
      <c r="D44" s="289">
        <v>506.64</v>
      </c>
      <c r="E44" s="198">
        <f t="shared" si="2"/>
        <v>506.64</v>
      </c>
      <c r="F44" s="193">
        <f t="shared" si="3"/>
        <v>2.8146666666666667E-2</v>
      </c>
    </row>
    <row r="45" spans="1:10" ht="15" x14ac:dyDescent="0.25">
      <c r="A45" s="529" t="s">
        <v>159</v>
      </c>
      <c r="B45" s="530"/>
      <c r="C45" s="530"/>
      <c r="D45" s="210"/>
      <c r="E45" s="200">
        <f>SUM(E38:E44)</f>
        <v>29311.760000000002</v>
      </c>
      <c r="F45" s="195">
        <f t="shared" si="3"/>
        <v>1.6284311111111112</v>
      </c>
    </row>
    <row r="47" spans="1:10" ht="15" thickBot="1" x14ac:dyDescent="0.25"/>
    <row r="48" spans="1:10" ht="18.75" thickBot="1" x14ac:dyDescent="0.3">
      <c r="A48" s="527" t="s">
        <v>171</v>
      </c>
      <c r="B48" s="528"/>
      <c r="C48" s="528"/>
      <c r="D48" s="208"/>
      <c r="E48" s="213">
        <f>SUM(E45+E34)</f>
        <v>39808.698738461542</v>
      </c>
      <c r="F48" s="212">
        <f>IF(B$11&gt;0,E48/B$11,0)</f>
        <v>2.2115943743589748</v>
      </c>
    </row>
    <row r="50" spans="1:6" x14ac:dyDescent="0.2">
      <c r="A50" s="524" t="s">
        <v>46</v>
      </c>
      <c r="B50" s="524"/>
      <c r="C50" s="524"/>
      <c r="D50" s="524"/>
      <c r="E50" s="524"/>
      <c r="F50" s="524"/>
    </row>
    <row r="51" spans="1:6" ht="28.5" x14ac:dyDescent="0.2">
      <c r="A51" s="47"/>
      <c r="B51" s="223" t="s">
        <v>161</v>
      </c>
      <c r="C51" s="223" t="s">
        <v>11</v>
      </c>
      <c r="D51" s="229" t="s">
        <v>163</v>
      </c>
      <c r="E51" s="229" t="s">
        <v>162</v>
      </c>
      <c r="F51" s="229" t="s">
        <v>187</v>
      </c>
    </row>
    <row r="52" spans="1:6" x14ac:dyDescent="0.2">
      <c r="A52" s="95" t="s">
        <v>160</v>
      </c>
      <c r="B52" s="275">
        <v>10</v>
      </c>
      <c r="C52" s="215">
        <f>E48</f>
        <v>39808.698738461542</v>
      </c>
      <c r="D52" s="218">
        <f>F48</f>
        <v>2.2115943743589748</v>
      </c>
      <c r="E52" s="218">
        <f>F45</f>
        <v>1.6284311111111112</v>
      </c>
      <c r="F52" s="218">
        <f>E34</f>
        <v>10496.938738461538</v>
      </c>
    </row>
    <row r="53" spans="1:6" x14ac:dyDescent="0.2">
      <c r="A53" s="95" t="s">
        <v>19</v>
      </c>
      <c r="B53" s="275">
        <v>2</v>
      </c>
      <c r="C53" s="216">
        <f>'Einzelkosten Junganlage'!E48</f>
        <v>24505.768738461538</v>
      </c>
      <c r="D53" s="218">
        <f>'Einzelkosten Junganlage'!F48</f>
        <v>3.267435831794872</v>
      </c>
      <c r="E53" s="218">
        <f>'Einzelkosten Junganlage'!F45</f>
        <v>2.2235640000000001</v>
      </c>
      <c r="F53" s="218">
        <f>'Einzelkosten Junganlage'!E34</f>
        <v>7829.0387384615387</v>
      </c>
    </row>
    <row r="54" spans="1:6" ht="15.75" x14ac:dyDescent="0.25">
      <c r="A54" s="222" t="s">
        <v>52</v>
      </c>
      <c r="B54" s="219">
        <f>SUM(B52:B53)</f>
        <v>12</v>
      </c>
      <c r="C54" s="220">
        <f>IF(B54&gt;0,(C52*B52+C53*B53)/B54,0)</f>
        <v>37258.210405128208</v>
      </c>
      <c r="D54" s="226">
        <f>IF(B54&gt;0,(D52*B52+D53*B53)/B54,0)</f>
        <v>2.387567950598291</v>
      </c>
      <c r="E54" s="221">
        <f>IF(B54&gt;0,(E52*B52+E53*B53)/B54,0)</f>
        <v>1.7276199259259259</v>
      </c>
      <c r="F54" s="221">
        <f>IF(B54&gt;0,(F52*B52+F53*B53)/B54,0)</f>
        <v>10052.288738461539</v>
      </c>
    </row>
  </sheetData>
  <sheetProtection password="DC5E" sheet="1" objects="1" scenarios="1" selectLockedCells="1"/>
  <mergeCells count="44">
    <mergeCell ref="A13:F13"/>
    <mergeCell ref="A15:F15"/>
    <mergeCell ref="A18:B18"/>
    <mergeCell ref="B11:C11"/>
    <mergeCell ref="D11:E11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26:B26"/>
    <mergeCell ref="A28:B28"/>
    <mergeCell ref="A31:B31"/>
    <mergeCell ref="A32:B32"/>
    <mergeCell ref="A30:B30"/>
    <mergeCell ref="A27:B27"/>
    <mergeCell ref="A25:B25"/>
    <mergeCell ref="A29:B29"/>
    <mergeCell ref="A38:B38"/>
    <mergeCell ref="A39:B39"/>
    <mergeCell ref="A33:C33"/>
    <mergeCell ref="A40:B40"/>
    <mergeCell ref="A41:B41"/>
    <mergeCell ref="A42:B42"/>
    <mergeCell ref="A50:F50"/>
    <mergeCell ref="A43:B43"/>
    <mergeCell ref="A44:B44"/>
    <mergeCell ref="A48:C48"/>
    <mergeCell ref="A45:C45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18:D18 C30:D32 C40 D38:D39 C38 F11 D25:D26 C24:D24 C22:D22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B11" sqref="B11:C11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7" t="s">
        <v>179</v>
      </c>
    </row>
    <row r="2" spans="1:6" ht="15" x14ac:dyDescent="0.25">
      <c r="A2" s="267" t="s">
        <v>180</v>
      </c>
    </row>
    <row r="4" spans="1:6" x14ac:dyDescent="0.2">
      <c r="A4" s="47" t="s">
        <v>107</v>
      </c>
      <c r="B4" s="539" t="str">
        <f>'Investitionskosten Anlage'!B4:C4</f>
        <v>Rote Johannisbeere</v>
      </c>
      <c r="C4" s="540"/>
      <c r="D4" s="509" t="s">
        <v>111</v>
      </c>
      <c r="E4" s="510"/>
      <c r="F4" s="179" t="str">
        <f>'Investitionskosten Anlage'!F5</f>
        <v>3m</v>
      </c>
    </row>
    <row r="5" spans="1:6" x14ac:dyDescent="0.2">
      <c r="A5" s="47" t="s">
        <v>108</v>
      </c>
      <c r="B5" s="539" t="str">
        <f>'Investitionskosten Anlage'!B5:C5</f>
        <v>Rovada</v>
      </c>
      <c r="C5" s="540"/>
      <c r="D5" s="509" t="s">
        <v>112</v>
      </c>
      <c r="E5" s="510"/>
      <c r="F5" s="179" t="str">
        <f>'Investitionskosten Anlage'!F6</f>
        <v>1m</v>
      </c>
    </row>
    <row r="6" spans="1:6" x14ac:dyDescent="0.2">
      <c r="A6" s="97" t="s">
        <v>109</v>
      </c>
      <c r="B6" s="541" t="str">
        <f>'Investitionskosten Anlage'!B6:C10</f>
        <v>Bodenkultur, Freiland, 
3-Ast-Hecke</v>
      </c>
      <c r="C6" s="542"/>
      <c r="D6" s="511" t="s">
        <v>327</v>
      </c>
      <c r="E6" s="512"/>
      <c r="F6" s="179">
        <f>'Investitionskosten Anlage'!F7</f>
        <v>13</v>
      </c>
    </row>
    <row r="7" spans="1:6" x14ac:dyDescent="0.2">
      <c r="A7" s="95"/>
      <c r="B7" s="543"/>
      <c r="C7" s="544"/>
      <c r="D7" s="509" t="s">
        <v>328</v>
      </c>
      <c r="E7" s="510"/>
      <c r="F7" s="230">
        <f>'Investitionskosten Anlage'!F8</f>
        <v>1</v>
      </c>
    </row>
    <row r="8" spans="1:6" x14ac:dyDescent="0.2">
      <c r="A8" s="95"/>
      <c r="B8" s="543"/>
      <c r="C8" s="544"/>
      <c r="D8" s="509" t="s">
        <v>329</v>
      </c>
      <c r="E8" s="510"/>
      <c r="F8" s="179">
        <f>'Investitionskosten Anlage'!F9</f>
        <v>0.9</v>
      </c>
    </row>
    <row r="9" spans="1:6" x14ac:dyDescent="0.2">
      <c r="A9" s="95"/>
      <c r="B9" s="543"/>
      <c r="C9" s="544"/>
      <c r="D9" s="509" t="s">
        <v>113</v>
      </c>
      <c r="E9" s="510"/>
      <c r="F9" s="179">
        <f>'Investitionskosten Anlage'!F10</f>
        <v>0.1</v>
      </c>
    </row>
    <row r="10" spans="1:6" x14ac:dyDescent="0.2">
      <c r="A10" s="98"/>
      <c r="B10" s="545"/>
      <c r="C10" s="553"/>
      <c r="D10" s="547" t="s">
        <v>185</v>
      </c>
      <c r="E10" s="548"/>
      <c r="F10" s="268">
        <v>3000</v>
      </c>
    </row>
    <row r="11" spans="1:6" x14ac:dyDescent="0.2">
      <c r="A11" s="47" t="s">
        <v>152</v>
      </c>
      <c r="B11" s="550">
        <v>7500</v>
      </c>
      <c r="C11" s="551"/>
      <c r="D11" s="552" t="s">
        <v>186</v>
      </c>
      <c r="E11" s="512"/>
      <c r="F11" s="322">
        <f>IF(F10&gt;0,B11/F10,0)</f>
        <v>2.5</v>
      </c>
    </row>
    <row r="13" spans="1:6" ht="20.25" x14ac:dyDescent="0.3">
      <c r="A13" s="549" t="s">
        <v>172</v>
      </c>
      <c r="B13" s="549"/>
      <c r="C13" s="549"/>
      <c r="D13" s="549"/>
      <c r="E13" s="549"/>
      <c r="F13" s="549"/>
    </row>
    <row r="14" spans="1:6" x14ac:dyDescent="0.2">
      <c r="F14" s="174"/>
    </row>
    <row r="15" spans="1:6" x14ac:dyDescent="0.2">
      <c r="A15" s="524" t="s">
        <v>169</v>
      </c>
      <c r="B15" s="524"/>
      <c r="C15" s="524"/>
      <c r="D15" s="524"/>
      <c r="E15" s="524"/>
      <c r="F15" s="524"/>
    </row>
    <row r="16" spans="1:6" ht="15.75" x14ac:dyDescent="0.25">
      <c r="A16" s="535"/>
      <c r="B16" s="536"/>
      <c r="C16" s="191" t="s">
        <v>129</v>
      </c>
      <c r="D16" s="191" t="s">
        <v>114</v>
      </c>
      <c r="E16" s="184" t="s">
        <v>11</v>
      </c>
      <c r="F16" s="191" t="s">
        <v>117</v>
      </c>
    </row>
    <row r="17" spans="1:6" x14ac:dyDescent="0.2">
      <c r="A17" s="537" t="s">
        <v>153</v>
      </c>
      <c r="B17" s="538"/>
      <c r="C17" s="538"/>
      <c r="D17" s="209"/>
      <c r="E17" s="214">
        <f>'Investitionskosten Anlage'!F51</f>
        <v>1606.0355384615384</v>
      </c>
      <c r="F17" s="211">
        <f>IF(B$11&gt;0,E17/B$11,0)</f>
        <v>0.21413807179487179</v>
      </c>
    </row>
    <row r="18" spans="1:6" x14ac:dyDescent="0.2">
      <c r="A18" s="522" t="s">
        <v>115</v>
      </c>
      <c r="B18" s="523"/>
      <c r="C18" s="281">
        <f>F7</f>
        <v>1</v>
      </c>
      <c r="D18" s="286">
        <f>'Investitionskosten Anlage'!D43</f>
        <v>1000</v>
      </c>
      <c r="E18" s="199">
        <f>C18*D18</f>
        <v>1000</v>
      </c>
      <c r="F18" s="194">
        <f t="shared" ref="F18:F34" si="0">IF(B$11&gt;0,E18/B$11,0)</f>
        <v>0.13333333333333333</v>
      </c>
    </row>
    <row r="19" spans="1:6" x14ac:dyDescent="0.2">
      <c r="A19" s="522" t="s">
        <v>191</v>
      </c>
      <c r="B19" s="523"/>
      <c r="C19" s="281">
        <v>1</v>
      </c>
      <c r="D19" s="286">
        <v>252.45</v>
      </c>
      <c r="E19" s="199">
        <f t="shared" ref="E19:E32" si="1">C19*D19</f>
        <v>252.45</v>
      </c>
      <c r="F19" s="194">
        <f t="shared" si="0"/>
        <v>3.3659999999999995E-2</v>
      </c>
    </row>
    <row r="20" spans="1:6" x14ac:dyDescent="0.2">
      <c r="A20" s="522" t="s">
        <v>192</v>
      </c>
      <c r="B20" s="523"/>
      <c r="C20" s="281">
        <v>1</v>
      </c>
      <c r="D20" s="286">
        <v>802.05</v>
      </c>
      <c r="E20" s="199">
        <f t="shared" si="1"/>
        <v>802.05</v>
      </c>
      <c r="F20" s="194">
        <f t="shared" si="0"/>
        <v>0.10693999999999999</v>
      </c>
    </row>
    <row r="21" spans="1:6" x14ac:dyDescent="0.2">
      <c r="A21" s="522" t="s">
        <v>230</v>
      </c>
      <c r="B21" s="523"/>
      <c r="C21" s="281">
        <v>100</v>
      </c>
      <c r="D21" s="286">
        <v>2.5</v>
      </c>
      <c r="E21" s="199">
        <f t="shared" si="1"/>
        <v>250</v>
      </c>
      <c r="F21" s="194">
        <f t="shared" si="0"/>
        <v>3.3333333333333333E-2</v>
      </c>
    </row>
    <row r="22" spans="1:6" x14ac:dyDescent="0.2">
      <c r="A22" s="522" t="s">
        <v>154</v>
      </c>
      <c r="B22" s="523"/>
      <c r="C22" s="281"/>
      <c r="D22" s="286"/>
      <c r="E22" s="199">
        <f t="shared" si="1"/>
        <v>0</v>
      </c>
      <c r="F22" s="194">
        <f t="shared" si="0"/>
        <v>0</v>
      </c>
    </row>
    <row r="23" spans="1:6" x14ac:dyDescent="0.2">
      <c r="A23" s="522" t="s">
        <v>156</v>
      </c>
      <c r="B23" s="523"/>
      <c r="C23" s="281">
        <v>1</v>
      </c>
      <c r="D23" s="286">
        <v>1083.4000000000001</v>
      </c>
      <c r="E23" s="199">
        <f t="shared" si="1"/>
        <v>1083.4000000000001</v>
      </c>
      <c r="F23" s="194">
        <f t="shared" si="0"/>
        <v>0.14445333333333335</v>
      </c>
    </row>
    <row r="24" spans="1:6" x14ac:dyDescent="0.2">
      <c r="A24" s="522" t="s">
        <v>201</v>
      </c>
      <c r="B24" s="523"/>
      <c r="C24" s="281"/>
      <c r="D24" s="286"/>
      <c r="E24" s="199">
        <f t="shared" si="1"/>
        <v>0</v>
      </c>
      <c r="F24" s="194">
        <f t="shared" si="0"/>
        <v>0</v>
      </c>
    </row>
    <row r="25" spans="1:6" x14ac:dyDescent="0.2">
      <c r="A25" s="522" t="s">
        <v>311</v>
      </c>
      <c r="B25" s="523"/>
      <c r="C25" s="281">
        <v>20</v>
      </c>
      <c r="D25" s="286">
        <f>Ertragsgrenzen!$B$21</f>
        <v>14</v>
      </c>
      <c r="E25" s="199">
        <f t="shared" si="1"/>
        <v>280</v>
      </c>
      <c r="F25" s="194">
        <f t="shared" si="0"/>
        <v>3.7333333333333336E-2</v>
      </c>
    </row>
    <row r="26" spans="1:6" x14ac:dyDescent="0.2">
      <c r="A26" s="522" t="s">
        <v>204</v>
      </c>
      <c r="B26" s="523"/>
      <c r="C26" s="281">
        <v>15</v>
      </c>
      <c r="D26" s="286">
        <f>Ertragsgrenzen!$B$22</f>
        <v>25</v>
      </c>
      <c r="E26" s="199">
        <f t="shared" si="1"/>
        <v>375</v>
      </c>
      <c r="F26" s="194">
        <f t="shared" si="0"/>
        <v>0.05</v>
      </c>
    </row>
    <row r="27" spans="1:6" x14ac:dyDescent="0.2">
      <c r="A27" s="522" t="s">
        <v>312</v>
      </c>
      <c r="B27" s="523"/>
      <c r="C27" s="281">
        <v>60</v>
      </c>
      <c r="D27" s="286">
        <f>Ertragsgrenzen!$B$21</f>
        <v>14</v>
      </c>
      <c r="E27" s="199">
        <f t="shared" si="1"/>
        <v>840</v>
      </c>
      <c r="F27" s="194">
        <f t="shared" si="0"/>
        <v>0.112</v>
      </c>
    </row>
    <row r="28" spans="1:6" x14ac:dyDescent="0.2">
      <c r="A28" s="522" t="s">
        <v>313</v>
      </c>
      <c r="B28" s="523"/>
      <c r="C28" s="281">
        <v>25</v>
      </c>
      <c r="D28" s="286">
        <f>Ertragsgrenzen!$B$21</f>
        <v>14</v>
      </c>
      <c r="E28" s="199">
        <f t="shared" si="1"/>
        <v>350</v>
      </c>
      <c r="F28" s="194">
        <f t="shared" si="0"/>
        <v>4.6666666666666669E-2</v>
      </c>
    </row>
    <row r="29" spans="1:6" x14ac:dyDescent="0.2">
      <c r="A29" s="522" t="s">
        <v>205</v>
      </c>
      <c r="B29" s="523"/>
      <c r="C29" s="281">
        <v>32</v>
      </c>
      <c r="D29" s="286">
        <f>Ertragsgrenzen!$B$22</f>
        <v>25</v>
      </c>
      <c r="E29" s="199">
        <f t="shared" si="1"/>
        <v>800</v>
      </c>
      <c r="F29" s="194">
        <f t="shared" si="0"/>
        <v>0.10666666666666667</v>
      </c>
    </row>
    <row r="30" spans="1:6" x14ac:dyDescent="0.2">
      <c r="A30" s="522" t="s">
        <v>206</v>
      </c>
      <c r="B30" s="523"/>
      <c r="C30" s="281"/>
      <c r="D30" s="286">
        <f>Ertragsgrenzen!$B$21</f>
        <v>14</v>
      </c>
      <c r="E30" s="199">
        <f t="shared" si="1"/>
        <v>0</v>
      </c>
      <c r="F30" s="194">
        <f t="shared" si="0"/>
        <v>0</v>
      </c>
    </row>
    <row r="31" spans="1:6" x14ac:dyDescent="0.2">
      <c r="A31" s="522" t="s">
        <v>207</v>
      </c>
      <c r="B31" s="523"/>
      <c r="C31" s="281"/>
      <c r="D31" s="286">
        <f>Ertragsgrenzen!$B$21</f>
        <v>14</v>
      </c>
      <c r="E31" s="199">
        <f t="shared" si="1"/>
        <v>0</v>
      </c>
      <c r="F31" s="194">
        <f t="shared" si="0"/>
        <v>0</v>
      </c>
    </row>
    <row r="32" spans="1:6" x14ac:dyDescent="0.2">
      <c r="A32" s="522" t="s">
        <v>208</v>
      </c>
      <c r="B32" s="523"/>
      <c r="C32" s="287"/>
      <c r="D32" s="286">
        <f>Ertragsgrenzen!$B$21</f>
        <v>14</v>
      </c>
      <c r="E32" s="199">
        <f t="shared" si="1"/>
        <v>0</v>
      </c>
      <c r="F32" s="194">
        <f t="shared" si="0"/>
        <v>0</v>
      </c>
    </row>
    <row r="33" spans="1:10" ht="13.9" customHeight="1" x14ac:dyDescent="0.2">
      <c r="A33" s="533" t="s">
        <v>177</v>
      </c>
      <c r="B33" s="534"/>
      <c r="C33" s="526"/>
      <c r="D33" s="288">
        <v>0.02</v>
      </c>
      <c r="E33" s="193">
        <f>(SUM('Investitionskosten Anlage'!D16:D22)+SUM('Investitionskosten Anlage'!D27:D28))*D33</f>
        <v>190.10319999999999</v>
      </c>
      <c r="F33" s="193">
        <f t="shared" si="0"/>
        <v>2.5347093333333331E-2</v>
      </c>
    </row>
    <row r="34" spans="1:10" ht="15" x14ac:dyDescent="0.25">
      <c r="A34" s="529" t="s">
        <v>158</v>
      </c>
      <c r="B34" s="530"/>
      <c r="C34" s="530"/>
      <c r="D34" s="207"/>
      <c r="E34" s="200">
        <f>SUM(E17:E33)</f>
        <v>7829.0387384615387</v>
      </c>
      <c r="F34" s="195">
        <f t="shared" si="0"/>
        <v>1.0438718317948719</v>
      </c>
    </row>
    <row r="35" spans="1:10" x14ac:dyDescent="0.2">
      <c r="A35" s="173"/>
      <c r="B35" s="173"/>
    </row>
    <row r="36" spans="1:10" x14ac:dyDescent="0.2">
      <c r="A36" s="524" t="s">
        <v>170</v>
      </c>
      <c r="B36" s="524"/>
      <c r="C36" s="524"/>
      <c r="D36" s="524"/>
      <c r="E36" s="524"/>
      <c r="F36" s="524"/>
    </row>
    <row r="37" spans="1:10" ht="16.5" thickBot="1" x14ac:dyDescent="0.3">
      <c r="A37" s="206"/>
      <c r="B37" s="191"/>
      <c r="C37" s="184" t="s">
        <v>129</v>
      </c>
      <c r="D37" s="191" t="s">
        <v>114</v>
      </c>
      <c r="E37" s="184" t="s">
        <v>11</v>
      </c>
      <c r="F37" s="184" t="s">
        <v>117</v>
      </c>
    </row>
    <row r="38" spans="1:10" ht="15.75" thickBot="1" x14ac:dyDescent="0.3">
      <c r="A38" s="531" t="s">
        <v>211</v>
      </c>
      <c r="B38" s="532"/>
      <c r="C38" s="271">
        <f>IF(J38&gt;0,B11/J38,0)</f>
        <v>937.5</v>
      </c>
      <c r="D38" s="289">
        <f>Ertragsgrenzen!$B$21</f>
        <v>14</v>
      </c>
      <c r="E38" s="198">
        <f>C38*D38</f>
        <v>13125</v>
      </c>
      <c r="F38" s="193">
        <f>IF(B$11&gt;0,E38/B$11,0)</f>
        <v>1.75</v>
      </c>
      <c r="H38" s="317" t="s">
        <v>182</v>
      </c>
      <c r="I38" s="318"/>
      <c r="J38" s="319">
        <v>8</v>
      </c>
    </row>
    <row r="39" spans="1:10" ht="15" thickBot="1" x14ac:dyDescent="0.25">
      <c r="A39" s="522" t="s">
        <v>210</v>
      </c>
      <c r="B39" s="523"/>
      <c r="C39" s="273">
        <v>20</v>
      </c>
      <c r="D39" s="286">
        <f>Ertragsgrenzen!$B$22</f>
        <v>25</v>
      </c>
      <c r="E39" s="199">
        <f t="shared" ref="E39:E44" si="2">C39*D39</f>
        <v>500</v>
      </c>
      <c r="F39" s="194">
        <f t="shared" ref="F39:F45" si="3">IF(B$11&gt;0,E39/B$11,0)</f>
        <v>6.6666666666666666E-2</v>
      </c>
    </row>
    <row r="40" spans="1:10" ht="15.75" thickBot="1" x14ac:dyDescent="0.3">
      <c r="A40" s="522" t="s">
        <v>190</v>
      </c>
      <c r="B40" s="523"/>
      <c r="C40" s="273">
        <f>B11*J42</f>
        <v>15000</v>
      </c>
      <c r="D40" s="286">
        <v>0.04</v>
      </c>
      <c r="E40" s="199">
        <f t="shared" si="2"/>
        <v>600</v>
      </c>
      <c r="F40" s="194">
        <f t="shared" si="3"/>
        <v>0.08</v>
      </c>
      <c r="H40" s="317" t="s">
        <v>183</v>
      </c>
      <c r="I40" s="318"/>
      <c r="J40" s="319" t="s">
        <v>314</v>
      </c>
    </row>
    <row r="41" spans="1:10" ht="15" thickBot="1" x14ac:dyDescent="0.25">
      <c r="A41" s="522" t="s">
        <v>188</v>
      </c>
      <c r="B41" s="523"/>
      <c r="C41" s="273">
        <f>B11*J42</f>
        <v>15000</v>
      </c>
      <c r="D41" s="485">
        <f>IF(C41&gt;0, SUM(Deckungsbeitrag!F81:F82)/C41, 0)</f>
        <v>0.11799999999999999</v>
      </c>
      <c r="E41" s="199">
        <f t="shared" si="2"/>
        <v>1770</v>
      </c>
      <c r="F41" s="194">
        <f t="shared" si="3"/>
        <v>0.23599999999999999</v>
      </c>
    </row>
    <row r="42" spans="1:10" ht="15.75" thickBot="1" x14ac:dyDescent="0.3">
      <c r="A42" s="522" t="s">
        <v>189</v>
      </c>
      <c r="B42" s="523"/>
      <c r="C42" s="273">
        <f>B11</f>
        <v>7500</v>
      </c>
      <c r="D42" s="286">
        <v>0.05</v>
      </c>
      <c r="E42" s="199">
        <f t="shared" si="2"/>
        <v>375</v>
      </c>
      <c r="F42" s="194">
        <f t="shared" si="3"/>
        <v>0.05</v>
      </c>
      <c r="H42" s="317" t="s">
        <v>184</v>
      </c>
      <c r="I42" s="318"/>
      <c r="J42" s="319">
        <v>2</v>
      </c>
    </row>
    <row r="43" spans="1:10" x14ac:dyDescent="0.2">
      <c r="A43" s="522" t="s">
        <v>104</v>
      </c>
      <c r="B43" s="523"/>
      <c r="C43" s="273"/>
      <c r="D43" s="286"/>
      <c r="E43" s="199">
        <f t="shared" si="2"/>
        <v>0</v>
      </c>
      <c r="F43" s="194">
        <f t="shared" si="3"/>
        <v>0</v>
      </c>
    </row>
    <row r="44" spans="1:10" x14ac:dyDescent="0.2">
      <c r="A44" s="525" t="s">
        <v>156</v>
      </c>
      <c r="B44" s="526"/>
      <c r="C44" s="290">
        <v>1</v>
      </c>
      <c r="D44" s="289">
        <v>306.73</v>
      </c>
      <c r="E44" s="198">
        <f t="shared" si="2"/>
        <v>306.73</v>
      </c>
      <c r="F44" s="193">
        <f t="shared" si="3"/>
        <v>4.0897333333333334E-2</v>
      </c>
    </row>
    <row r="45" spans="1:10" ht="15" x14ac:dyDescent="0.25">
      <c r="A45" s="529" t="s">
        <v>159</v>
      </c>
      <c r="B45" s="530"/>
      <c r="C45" s="530"/>
      <c r="D45" s="210"/>
      <c r="E45" s="200">
        <f>SUM(E38:E44)</f>
        <v>16676.73</v>
      </c>
      <c r="F45" s="195">
        <f t="shared" si="3"/>
        <v>2.2235640000000001</v>
      </c>
    </row>
    <row r="47" spans="1:10" ht="15" thickBot="1" x14ac:dyDescent="0.25"/>
    <row r="48" spans="1:10" ht="18.75" thickBot="1" x14ac:dyDescent="0.3">
      <c r="A48" s="527" t="s">
        <v>171</v>
      </c>
      <c r="B48" s="528"/>
      <c r="C48" s="528"/>
      <c r="D48" s="208"/>
      <c r="E48" s="213">
        <f>SUM(E45+E34)</f>
        <v>24505.768738461538</v>
      </c>
      <c r="F48" s="212">
        <f>IF(B$11&gt;0,E48/B$11,0)</f>
        <v>3.267435831794872</v>
      </c>
    </row>
    <row r="50" spans="1:6" x14ac:dyDescent="0.2">
      <c r="A50" s="524" t="s">
        <v>46</v>
      </c>
      <c r="B50" s="524"/>
      <c r="C50" s="524"/>
      <c r="D50" s="524"/>
      <c r="E50" s="524"/>
      <c r="F50" s="524"/>
    </row>
    <row r="51" spans="1:6" ht="28.5" x14ac:dyDescent="0.2">
      <c r="A51" s="47"/>
      <c r="B51" s="223" t="s">
        <v>161</v>
      </c>
      <c r="C51" s="223" t="s">
        <v>11</v>
      </c>
      <c r="D51" s="217" t="s">
        <v>163</v>
      </c>
      <c r="E51" s="217" t="s">
        <v>162</v>
      </c>
      <c r="F51" s="217" t="s">
        <v>187</v>
      </c>
    </row>
    <row r="52" spans="1:6" x14ac:dyDescent="0.2">
      <c r="A52" s="95" t="s">
        <v>160</v>
      </c>
      <c r="B52" s="275">
        <v>10</v>
      </c>
      <c r="C52" s="215">
        <f>'Einzelkosten Vollertrag'!E48</f>
        <v>39808.698738461542</v>
      </c>
      <c r="D52" s="218">
        <f>'Einzelkosten Vollertrag'!F48</f>
        <v>2.2115943743589748</v>
      </c>
      <c r="E52" s="218">
        <f>'Einzelkosten Vollertrag'!F45</f>
        <v>1.6284311111111112</v>
      </c>
      <c r="F52" s="218">
        <f>'Einzelkosten Vollertrag'!E34</f>
        <v>10496.938738461538</v>
      </c>
    </row>
    <row r="53" spans="1:6" x14ac:dyDescent="0.2">
      <c r="A53" s="95" t="s">
        <v>19</v>
      </c>
      <c r="B53" s="275">
        <v>2</v>
      </c>
      <c r="C53" s="216">
        <f>'Einzelkosten Junganlage'!E48</f>
        <v>24505.768738461538</v>
      </c>
      <c r="D53" s="218">
        <f>'Einzelkosten Junganlage'!F48</f>
        <v>3.267435831794872</v>
      </c>
      <c r="E53" s="218">
        <f>'Einzelkosten Junganlage'!F45</f>
        <v>2.2235640000000001</v>
      </c>
      <c r="F53" s="218">
        <f>E34</f>
        <v>7829.0387384615387</v>
      </c>
    </row>
    <row r="54" spans="1:6" ht="15.75" x14ac:dyDescent="0.25">
      <c r="A54" s="222" t="s">
        <v>52</v>
      </c>
      <c r="B54" s="219">
        <f>SUM(B52:B53)</f>
        <v>12</v>
      </c>
      <c r="C54" s="220">
        <f>IF(B54&gt;0,(C52*B52+C53*B53)/B54,0)</f>
        <v>37258.210405128208</v>
      </c>
      <c r="D54" s="226">
        <f>IF(B54&gt;0,(D52*B52+D53*B53)/B54,0)</f>
        <v>2.387567950598291</v>
      </c>
      <c r="E54" s="221">
        <f>IF(B54&gt;0,(E52*B52+E53*B53)/B54,0)</f>
        <v>1.7276199259259259</v>
      </c>
      <c r="F54" s="221">
        <f>IF(B54&gt;0,(F52*B52+F53*B53)/B54,0)</f>
        <v>10052.288738461539</v>
      </c>
    </row>
  </sheetData>
  <sheetProtection password="DC5E" sheet="1" objects="1" scenarios="1" selectLockedCells="1"/>
  <mergeCells count="44"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A40:B40"/>
    <mergeCell ref="A24:B24"/>
    <mergeCell ref="A27:B27"/>
    <mergeCell ref="A28:B28"/>
    <mergeCell ref="A31:B31"/>
    <mergeCell ref="A32:B32"/>
    <mergeCell ref="A26:B26"/>
    <mergeCell ref="A29:B29"/>
    <mergeCell ref="A30:B30"/>
    <mergeCell ref="A25:B25"/>
    <mergeCell ref="A34:C34"/>
    <mergeCell ref="A36:F36"/>
    <mergeCell ref="A38:B38"/>
    <mergeCell ref="A39:B39"/>
    <mergeCell ref="A33:C33"/>
    <mergeCell ref="A50:F50"/>
    <mergeCell ref="A41:B41"/>
    <mergeCell ref="A42:B42"/>
    <mergeCell ref="A43:B43"/>
    <mergeCell ref="A44:B44"/>
    <mergeCell ref="A45:C45"/>
    <mergeCell ref="A48:C48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D18 D27:D28 C30:D32 C40:D40 F11 C38:D38 C42:D42 C41 C22:D22 C24:D24 D25 D39" unlockedFormula="1"/>
    <ignoredError sqref="D26 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7" t="s">
        <v>179</v>
      </c>
    </row>
    <row r="2" spans="1:13" ht="15" x14ac:dyDescent="0.25">
      <c r="D2" s="267" t="s">
        <v>180</v>
      </c>
    </row>
    <row r="4" spans="1:13" ht="23.25" customHeight="1" x14ac:dyDescent="0.2">
      <c r="A4" s="554" t="s">
        <v>165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</row>
    <row r="5" spans="1:13" ht="15" thickBot="1" x14ac:dyDescent="0.25">
      <c r="B5" s="173"/>
      <c r="C5" s="173"/>
      <c r="D5" s="173"/>
      <c r="E5" s="173"/>
      <c r="F5" s="173"/>
      <c r="G5" s="173"/>
      <c r="H5" s="173"/>
    </row>
    <row r="6" spans="1:13" x14ac:dyDescent="0.2">
      <c r="G6" s="239"/>
      <c r="H6" s="240"/>
    </row>
    <row r="7" spans="1:13" x14ac:dyDescent="0.2">
      <c r="A7" s="291" t="s">
        <v>306</v>
      </c>
      <c r="B7" s="498">
        <f t="shared" ref="B7:L7" si="0">B8/3000</f>
        <v>4.333333333333333</v>
      </c>
      <c r="C7" s="498">
        <f t="shared" si="0"/>
        <v>4.666666666666667</v>
      </c>
      <c r="D7" s="499">
        <f t="shared" si="0"/>
        <v>5</v>
      </c>
      <c r="E7" s="499">
        <f t="shared" si="0"/>
        <v>5.333333333333333</v>
      </c>
      <c r="F7" s="500">
        <f t="shared" si="0"/>
        <v>5.666666666666667</v>
      </c>
      <c r="G7" s="501">
        <f t="shared" si="0"/>
        <v>6</v>
      </c>
      <c r="H7" s="502">
        <f t="shared" si="0"/>
        <v>6.333333333333333</v>
      </c>
      <c r="I7" s="503">
        <f t="shared" si="0"/>
        <v>6.666666666666667</v>
      </c>
      <c r="J7" s="504">
        <f t="shared" si="0"/>
        <v>7</v>
      </c>
      <c r="K7" s="504">
        <f t="shared" si="0"/>
        <v>7.333333333333333</v>
      </c>
      <c r="L7" s="505">
        <f t="shared" si="0"/>
        <v>7.666666666666667</v>
      </c>
      <c r="M7" s="505">
        <f>M8/3000</f>
        <v>8</v>
      </c>
    </row>
    <row r="8" spans="1:13" x14ac:dyDescent="0.2">
      <c r="A8" s="278" t="s">
        <v>164</v>
      </c>
      <c r="B8" s="292">
        <v>13000</v>
      </c>
      <c r="C8" s="292">
        <v>14000</v>
      </c>
      <c r="D8" s="293">
        <v>15000</v>
      </c>
      <c r="E8" s="293">
        <v>16000</v>
      </c>
      <c r="F8" s="294">
        <v>17000</v>
      </c>
      <c r="G8" s="295">
        <v>18000</v>
      </c>
      <c r="H8" s="296">
        <v>19000</v>
      </c>
      <c r="I8" s="297">
        <v>20000</v>
      </c>
      <c r="J8" s="298">
        <v>21000</v>
      </c>
      <c r="K8" s="298">
        <v>22000</v>
      </c>
      <c r="L8" s="299">
        <v>23000</v>
      </c>
      <c r="M8" s="299">
        <v>24000</v>
      </c>
    </row>
    <row r="9" spans="1:13" x14ac:dyDescent="0.2">
      <c r="A9" s="181" t="s">
        <v>118</v>
      </c>
      <c r="B9" s="243">
        <f>'Einzelkosten Vollertrag'!$F$54/B8</f>
        <v>0.77325297988165687</v>
      </c>
      <c r="C9" s="243">
        <f>'Einzelkosten Vollertrag'!$F$54/C8</f>
        <v>0.71802062417582424</v>
      </c>
      <c r="D9" s="247">
        <f>'Einzelkosten Vollertrag'!$F$54/D8</f>
        <v>0.67015258256410259</v>
      </c>
      <c r="E9" s="247">
        <f>'Einzelkosten Vollertrag'!$F$54/E8</f>
        <v>0.62826804615384613</v>
      </c>
      <c r="F9" s="245">
        <f>'Einzelkosten Vollertrag'!$F$54/F8</f>
        <v>0.59131110226244343</v>
      </c>
      <c r="G9" s="261">
        <f>'Einzelkosten Vollertrag'!$F$54/G8</f>
        <v>0.55846048547008553</v>
      </c>
      <c r="H9" s="262">
        <f>'Einzelkosten Vollertrag'!$F$54/H8</f>
        <v>0.52906782834008104</v>
      </c>
      <c r="I9" s="249">
        <f>'Einzelkosten Vollertrag'!$F$54/I8</f>
        <v>0.50261443692307695</v>
      </c>
      <c r="J9" s="251">
        <f>'Einzelkosten Vollertrag'!$F$54/J8</f>
        <v>0.47868041611721612</v>
      </c>
      <c r="K9" s="251">
        <f>'Einzelkosten Vollertrag'!$F$54/K8</f>
        <v>0.45692221538461542</v>
      </c>
      <c r="L9" s="258">
        <f>'Einzelkosten Vollertrag'!$F$54/L8</f>
        <v>0.43705603210702343</v>
      </c>
      <c r="M9" s="258">
        <f>'Einzelkosten Vollertrag'!$F$54/M8</f>
        <v>0.41884536410256412</v>
      </c>
    </row>
    <row r="10" spans="1:13" x14ac:dyDescent="0.2">
      <c r="A10" s="95" t="s">
        <v>119</v>
      </c>
      <c r="B10" s="244">
        <f>'Einzelkosten Vollertrag'!$E$54</f>
        <v>1.7276199259259259</v>
      </c>
      <c r="C10" s="244">
        <f>'Einzelkosten Vollertrag'!$E$54</f>
        <v>1.7276199259259259</v>
      </c>
      <c r="D10" s="248">
        <f>'Einzelkosten Vollertrag'!$E$54</f>
        <v>1.7276199259259259</v>
      </c>
      <c r="E10" s="248">
        <f>'Einzelkosten Vollertrag'!$E$54</f>
        <v>1.7276199259259259</v>
      </c>
      <c r="F10" s="246">
        <f>'Einzelkosten Vollertrag'!$E$54</f>
        <v>1.7276199259259259</v>
      </c>
      <c r="G10" s="263">
        <f>'Einzelkosten Vollertrag'!$E$54</f>
        <v>1.7276199259259259</v>
      </c>
      <c r="H10" s="264">
        <f>'Einzelkosten Vollertrag'!$E$54</f>
        <v>1.7276199259259259</v>
      </c>
      <c r="I10" s="250">
        <f>'Einzelkosten Vollertrag'!$E$54</f>
        <v>1.7276199259259259</v>
      </c>
      <c r="J10" s="252">
        <f>'Einzelkosten Vollertrag'!$E$54</f>
        <v>1.7276199259259259</v>
      </c>
      <c r="K10" s="252">
        <f>'Einzelkosten Vollertrag'!$E$54</f>
        <v>1.7276199259259259</v>
      </c>
      <c r="L10" s="259">
        <f>'Einzelkosten Vollertrag'!$E$54</f>
        <v>1.7276199259259259</v>
      </c>
      <c r="M10" s="259">
        <f>'Einzelkosten Vollertrag'!$E$54</f>
        <v>1.7276199259259259</v>
      </c>
    </row>
    <row r="11" spans="1:13" ht="15" x14ac:dyDescent="0.25">
      <c r="A11" s="182" t="s">
        <v>173</v>
      </c>
      <c r="B11" s="224">
        <f>SUM(B9:B10)</f>
        <v>2.5008729058075829</v>
      </c>
      <c r="C11" s="224">
        <f>SUM(C9:C10)</f>
        <v>2.44564055010175</v>
      </c>
      <c r="D11" s="224">
        <f t="shared" ref="D11:I11" si="1">SUM(D9:D10)</f>
        <v>2.3977725084900285</v>
      </c>
      <c r="E11" s="224">
        <f t="shared" si="1"/>
        <v>2.3558879720797723</v>
      </c>
      <c r="F11" s="231">
        <f t="shared" si="1"/>
        <v>2.3189310281883695</v>
      </c>
      <c r="G11" s="235">
        <f t="shared" si="1"/>
        <v>2.2860804113960116</v>
      </c>
      <c r="H11" s="236">
        <f t="shared" si="1"/>
        <v>2.2566877542660069</v>
      </c>
      <c r="I11" s="233">
        <f t="shared" si="1"/>
        <v>2.2302343628490027</v>
      </c>
      <c r="J11" s="224">
        <f>SUM(J9:J10)</f>
        <v>2.206300342043142</v>
      </c>
      <c r="K11" s="224">
        <f t="shared" ref="K11:M11" si="2">SUM(K9:K10)</f>
        <v>2.1845421413105415</v>
      </c>
      <c r="L11" s="224">
        <f t="shared" si="2"/>
        <v>2.1646759580329493</v>
      </c>
      <c r="M11" s="224">
        <f t="shared" si="2"/>
        <v>2.1464652900284902</v>
      </c>
    </row>
    <row r="12" spans="1:13" x14ac:dyDescent="0.2">
      <c r="A12" s="95"/>
      <c r="B12" s="257"/>
      <c r="C12" s="257"/>
      <c r="D12" s="256"/>
      <c r="E12" s="256"/>
      <c r="F12" s="255"/>
      <c r="G12" s="265"/>
      <c r="H12" s="266"/>
      <c r="I12" s="254"/>
      <c r="J12" s="253"/>
      <c r="K12" s="253"/>
      <c r="L12" s="260"/>
      <c r="M12" s="260"/>
    </row>
    <row r="13" spans="1:13" x14ac:dyDescent="0.2">
      <c r="A13" s="278" t="s">
        <v>178</v>
      </c>
      <c r="B13" s="300">
        <f t="shared" ref="B13" si="3">6000/B8</f>
        <v>0.46153846153846156</v>
      </c>
      <c r="C13" s="300">
        <f t="shared" ref="C13:I13" si="4">6000/C8</f>
        <v>0.42857142857142855</v>
      </c>
      <c r="D13" s="301">
        <f t="shared" si="4"/>
        <v>0.4</v>
      </c>
      <c r="E13" s="301">
        <f t="shared" si="4"/>
        <v>0.375</v>
      </c>
      <c r="F13" s="302">
        <f t="shared" si="4"/>
        <v>0.35294117647058826</v>
      </c>
      <c r="G13" s="303">
        <f t="shared" si="4"/>
        <v>0.33333333333333331</v>
      </c>
      <c r="H13" s="304">
        <f t="shared" si="4"/>
        <v>0.31578947368421051</v>
      </c>
      <c r="I13" s="305">
        <f t="shared" si="4"/>
        <v>0.3</v>
      </c>
      <c r="J13" s="306">
        <f t="shared" ref="J13:M13" si="5">6000/J8</f>
        <v>0.2857142857142857</v>
      </c>
      <c r="K13" s="306">
        <f t="shared" si="5"/>
        <v>0.27272727272727271</v>
      </c>
      <c r="L13" s="307">
        <f t="shared" si="5"/>
        <v>0.2608695652173913</v>
      </c>
      <c r="M13" s="307">
        <f t="shared" si="5"/>
        <v>0.25</v>
      </c>
    </row>
    <row r="14" spans="1:13" x14ac:dyDescent="0.2">
      <c r="A14" s="278" t="s">
        <v>307</v>
      </c>
      <c r="B14" s="300">
        <f>1188/B8</f>
        <v>9.1384615384615384E-2</v>
      </c>
      <c r="C14" s="300">
        <f t="shared" ref="C14:M14" si="6">1188/C8</f>
        <v>8.4857142857142853E-2</v>
      </c>
      <c r="D14" s="301">
        <f t="shared" si="6"/>
        <v>7.9200000000000007E-2</v>
      </c>
      <c r="E14" s="301">
        <f t="shared" si="6"/>
        <v>7.4249999999999997E-2</v>
      </c>
      <c r="F14" s="302">
        <f t="shared" si="6"/>
        <v>6.9882352941176465E-2</v>
      </c>
      <c r="G14" s="303">
        <f t="shared" si="6"/>
        <v>6.6000000000000003E-2</v>
      </c>
      <c r="H14" s="304">
        <f t="shared" si="6"/>
        <v>6.252631578947368E-2</v>
      </c>
      <c r="I14" s="305">
        <f t="shared" si="6"/>
        <v>5.9400000000000001E-2</v>
      </c>
      <c r="J14" s="306">
        <f t="shared" si="6"/>
        <v>5.6571428571428571E-2</v>
      </c>
      <c r="K14" s="306">
        <f t="shared" si="6"/>
        <v>5.3999999999999999E-2</v>
      </c>
      <c r="L14" s="307">
        <f t="shared" si="6"/>
        <v>5.1652173913043477E-2</v>
      </c>
      <c r="M14" s="307">
        <f t="shared" si="6"/>
        <v>4.9500000000000002E-2</v>
      </c>
    </row>
    <row r="15" spans="1:13" ht="15" thickBot="1" x14ac:dyDescent="0.25">
      <c r="A15" s="277" t="s">
        <v>308</v>
      </c>
      <c r="B15" s="308">
        <f>1980/B8</f>
        <v>0.15230769230769231</v>
      </c>
      <c r="C15" s="308">
        <f t="shared" ref="C15:M15" si="7">1980/C8</f>
        <v>0.14142857142857143</v>
      </c>
      <c r="D15" s="309">
        <f t="shared" si="7"/>
        <v>0.13200000000000001</v>
      </c>
      <c r="E15" s="309">
        <f t="shared" si="7"/>
        <v>0.12375</v>
      </c>
      <c r="F15" s="310">
        <f t="shared" si="7"/>
        <v>0.11647058823529412</v>
      </c>
      <c r="G15" s="311">
        <f t="shared" si="7"/>
        <v>0.11</v>
      </c>
      <c r="H15" s="312">
        <f t="shared" si="7"/>
        <v>0.10421052631578948</v>
      </c>
      <c r="I15" s="313">
        <f t="shared" si="7"/>
        <v>9.9000000000000005E-2</v>
      </c>
      <c r="J15" s="314">
        <f t="shared" si="7"/>
        <v>9.4285714285714292E-2</v>
      </c>
      <c r="K15" s="314">
        <f t="shared" si="7"/>
        <v>0.09</v>
      </c>
      <c r="L15" s="315">
        <f t="shared" si="7"/>
        <v>8.608695652173913E-2</v>
      </c>
      <c r="M15" s="315">
        <f t="shared" si="7"/>
        <v>8.2500000000000004E-2</v>
      </c>
    </row>
    <row r="16" spans="1:13" ht="18.75" thickBot="1" x14ac:dyDescent="0.3">
      <c r="A16" s="185" t="s">
        <v>120</v>
      </c>
      <c r="B16" s="225">
        <f>SUM(B11:B15)</f>
        <v>3.2061036750383525</v>
      </c>
      <c r="C16" s="225">
        <f>SUM(C11:C15)</f>
        <v>3.1004976929588928</v>
      </c>
      <c r="D16" s="225">
        <f t="shared" ref="D16:H16" si="8">SUM(D11:D15)</f>
        <v>3.0089725084900287</v>
      </c>
      <c r="E16" s="225">
        <f t="shared" si="8"/>
        <v>2.9288879720797723</v>
      </c>
      <c r="F16" s="232">
        <f t="shared" si="8"/>
        <v>2.8582251458354286</v>
      </c>
      <c r="G16" s="237">
        <f t="shared" si="8"/>
        <v>2.7954137447293448</v>
      </c>
      <c r="H16" s="238">
        <f t="shared" si="8"/>
        <v>2.7392140700554806</v>
      </c>
      <c r="I16" s="234">
        <f>SUM(I11:I15)</f>
        <v>2.6886343628490028</v>
      </c>
      <c r="J16" s="225">
        <f>SUM(J11:J15)</f>
        <v>2.6428717706145703</v>
      </c>
      <c r="K16" s="225">
        <f t="shared" ref="K16:M16" si="9">SUM(K11:K15)</f>
        <v>2.6012694140378136</v>
      </c>
      <c r="L16" s="225">
        <f t="shared" si="9"/>
        <v>2.5632846536851228</v>
      </c>
      <c r="M16" s="225">
        <f t="shared" si="9"/>
        <v>2.5284652900284903</v>
      </c>
    </row>
    <row r="17" spans="1:8" ht="15" thickBot="1" x14ac:dyDescent="0.25">
      <c r="G17" s="241"/>
      <c r="H17" s="242"/>
    </row>
    <row r="19" spans="1:8" ht="20.25" x14ac:dyDescent="0.3">
      <c r="A19" s="549" t="s">
        <v>174</v>
      </c>
      <c r="B19" s="549"/>
    </row>
    <row r="21" spans="1:8" ht="18" x14ac:dyDescent="0.25">
      <c r="A21" s="323" t="s">
        <v>175</v>
      </c>
      <c r="B21" s="316">
        <v>14</v>
      </c>
    </row>
    <row r="22" spans="1:8" ht="18" x14ac:dyDescent="0.25">
      <c r="A22" s="323" t="s">
        <v>176</v>
      </c>
      <c r="B22" s="316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ignoredErrors>
    <ignoredError sqref="B13:M13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7" width="7.75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71" t="s">
        <v>179</v>
      </c>
    </row>
    <row r="3" spans="1:15" ht="15.75" x14ac:dyDescent="0.3">
      <c r="A3" s="471" t="s">
        <v>217</v>
      </c>
    </row>
    <row r="5" spans="1:15" ht="18" x14ac:dyDescent="0.25">
      <c r="A5" s="1" t="s">
        <v>18</v>
      </c>
    </row>
    <row r="6" spans="1:15" ht="18" x14ac:dyDescent="0.25">
      <c r="A6" s="2" t="s">
        <v>0</v>
      </c>
      <c r="B6" s="325" t="s">
        <v>323</v>
      </c>
      <c r="C6" s="326"/>
      <c r="D6" s="327"/>
      <c r="E6" s="327"/>
      <c r="F6" s="327"/>
      <c r="G6" s="327"/>
      <c r="H6" s="327"/>
      <c r="I6" t="s">
        <v>1</v>
      </c>
      <c r="K6" s="325" t="s">
        <v>49</v>
      </c>
    </row>
    <row r="7" spans="1:15" ht="14.45" x14ac:dyDescent="0.25">
      <c r="B7" s="327"/>
      <c r="C7" s="327"/>
      <c r="D7" s="327"/>
      <c r="E7" s="327"/>
      <c r="F7" s="327"/>
      <c r="G7" s="327"/>
      <c r="H7" s="327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28" t="s">
        <v>218</v>
      </c>
      <c r="B10" s="329">
        <f>'Einzelkosten Vollertrag'!C38</f>
        <v>1440</v>
      </c>
      <c r="C10" s="329">
        <f>B10</f>
        <v>1440</v>
      </c>
      <c r="D10" s="330">
        <v>24</v>
      </c>
      <c r="E10" s="331" t="s">
        <v>256</v>
      </c>
      <c r="F10" s="332">
        <v>14.3</v>
      </c>
      <c r="G10" s="333"/>
      <c r="H10" s="334" t="s">
        <v>309</v>
      </c>
      <c r="I10" s="335">
        <v>0.17</v>
      </c>
      <c r="J10" s="335"/>
      <c r="K10" s="328" t="s">
        <v>265</v>
      </c>
      <c r="L10" s="335"/>
      <c r="M10" s="333">
        <v>120</v>
      </c>
      <c r="N10" s="357">
        <f t="shared" ref="N10:N32" si="0">D10*(F10+I10+L10)+G10+J10+M10</f>
        <v>467.28000000000003</v>
      </c>
    </row>
    <row r="11" spans="1:15" s="6" customFormat="1" ht="12.75" x14ac:dyDescent="0.2">
      <c r="A11" s="331" t="s">
        <v>219</v>
      </c>
      <c r="B11" s="329">
        <f>'Einzelkosten Vollertrag'!C39</f>
        <v>50</v>
      </c>
      <c r="C11" s="329"/>
      <c r="D11" s="330">
        <v>6</v>
      </c>
      <c r="E11" s="331" t="s">
        <v>310</v>
      </c>
      <c r="F11" s="332">
        <v>6.56</v>
      </c>
      <c r="G11" s="333"/>
      <c r="H11" s="334"/>
      <c r="I11" s="335"/>
      <c r="J11" s="335"/>
      <c r="K11" s="328"/>
      <c r="L11" s="335"/>
      <c r="M11" s="333"/>
      <c r="N11" s="357">
        <f t="shared" si="0"/>
        <v>39.36</v>
      </c>
    </row>
    <row r="12" spans="1:15" s="6" customFormat="1" ht="12.75" x14ac:dyDescent="0.2">
      <c r="A12" s="331" t="s">
        <v>277</v>
      </c>
      <c r="B12" s="329">
        <v>6</v>
      </c>
      <c r="C12" s="329"/>
      <c r="D12" s="330">
        <v>6</v>
      </c>
      <c r="E12" s="331" t="s">
        <v>256</v>
      </c>
      <c r="F12" s="332">
        <v>14.3</v>
      </c>
      <c r="G12" s="333"/>
      <c r="H12" s="334" t="s">
        <v>257</v>
      </c>
      <c r="I12" s="335"/>
      <c r="J12" s="335">
        <v>0.8</v>
      </c>
      <c r="K12" s="328" t="s">
        <v>258</v>
      </c>
      <c r="L12" s="335"/>
      <c r="M12" s="333">
        <v>0.45</v>
      </c>
      <c r="N12" s="357">
        <f>D12*(F12+I12+L12)+G12+J12*3+M12*3</f>
        <v>89.550000000000011</v>
      </c>
      <c r="O12" s="171"/>
    </row>
    <row r="13" spans="1:15" s="6" customFormat="1" ht="12.75" x14ac:dyDescent="0.2">
      <c r="A13" s="336" t="s">
        <v>259</v>
      </c>
      <c r="B13" s="329">
        <v>2</v>
      </c>
      <c r="C13" s="329"/>
      <c r="D13" s="330">
        <v>2</v>
      </c>
      <c r="E13" s="331" t="s">
        <v>256</v>
      </c>
      <c r="F13" s="332">
        <v>14.3</v>
      </c>
      <c r="G13" s="333"/>
      <c r="H13" s="337" t="s">
        <v>260</v>
      </c>
      <c r="I13" s="335"/>
      <c r="J13" s="335">
        <v>1.5</v>
      </c>
      <c r="K13" s="328"/>
      <c r="L13" s="335"/>
      <c r="M13" s="333"/>
      <c r="N13" s="357">
        <f t="shared" si="0"/>
        <v>30.1</v>
      </c>
      <c r="O13" s="171"/>
    </row>
    <row r="14" spans="1:15" s="6" customFormat="1" ht="12.75" x14ac:dyDescent="0.2">
      <c r="A14" s="331" t="s">
        <v>261</v>
      </c>
      <c r="B14" s="329">
        <v>14</v>
      </c>
      <c r="C14" s="329"/>
      <c r="D14" s="330">
        <v>14</v>
      </c>
      <c r="E14" s="328" t="s">
        <v>256</v>
      </c>
      <c r="F14" s="335">
        <v>14.3</v>
      </c>
      <c r="G14" s="333"/>
      <c r="H14" s="328" t="s">
        <v>262</v>
      </c>
      <c r="I14" s="335"/>
      <c r="J14" s="335">
        <v>2.4</v>
      </c>
      <c r="K14" s="328"/>
      <c r="L14" s="335"/>
      <c r="M14" s="333"/>
      <c r="N14" s="357">
        <f>D14*(F14+I14+L14)+G14+J14*7+M14</f>
        <v>217.00000000000003</v>
      </c>
      <c r="O14" s="170"/>
    </row>
    <row r="15" spans="1:15" s="6" customFormat="1" ht="12.75" x14ac:dyDescent="0.2">
      <c r="A15" s="331" t="s">
        <v>263</v>
      </c>
      <c r="B15" s="329">
        <v>10</v>
      </c>
      <c r="C15" s="329"/>
      <c r="D15" s="330">
        <v>10</v>
      </c>
      <c r="E15" s="328" t="s">
        <v>256</v>
      </c>
      <c r="F15" s="335">
        <v>14.3</v>
      </c>
      <c r="G15" s="333"/>
      <c r="H15" s="334" t="s">
        <v>264</v>
      </c>
      <c r="I15" s="335"/>
      <c r="J15" s="335">
        <v>5.2</v>
      </c>
      <c r="K15" s="328"/>
      <c r="L15" s="335"/>
      <c r="M15" s="333"/>
      <c r="N15" s="357">
        <f>D15*(F15+I15+L15)+G15+J15*5+M15</f>
        <v>169</v>
      </c>
      <c r="O15" s="170"/>
    </row>
    <row r="16" spans="1:15" s="6" customFormat="1" ht="12.75" x14ac:dyDescent="0.2">
      <c r="A16" s="331" t="s">
        <v>105</v>
      </c>
      <c r="B16" s="329">
        <v>5</v>
      </c>
      <c r="C16" s="329"/>
      <c r="D16" s="330">
        <v>5</v>
      </c>
      <c r="E16" s="328" t="s">
        <v>265</v>
      </c>
      <c r="F16" s="335">
        <v>10</v>
      </c>
      <c r="G16" s="333"/>
      <c r="H16" s="328"/>
      <c r="I16" s="335"/>
      <c r="J16" s="335"/>
      <c r="K16" s="328"/>
      <c r="L16" s="335"/>
      <c r="M16" s="333"/>
      <c r="N16" s="357">
        <f>D16*(F16+I16+L16)+G16+J16+M16</f>
        <v>50</v>
      </c>
      <c r="O16" s="170"/>
    </row>
    <row r="17" spans="1:15" s="6" customFormat="1" ht="12.75" x14ac:dyDescent="0.2">
      <c r="A17" s="328" t="s">
        <v>266</v>
      </c>
      <c r="B17" s="338">
        <v>10</v>
      </c>
      <c r="C17" s="338"/>
      <c r="D17" s="339">
        <v>10</v>
      </c>
      <c r="E17" s="331" t="s">
        <v>265</v>
      </c>
      <c r="F17" s="335">
        <v>10</v>
      </c>
      <c r="G17" s="333"/>
      <c r="H17" s="328"/>
      <c r="I17" s="335"/>
      <c r="J17" s="335"/>
      <c r="K17" s="331"/>
      <c r="L17" s="335"/>
      <c r="M17" s="333"/>
      <c r="N17" s="357">
        <f>D17*(F17+I17+L17)+G17+J17+M17</f>
        <v>100</v>
      </c>
    </row>
    <row r="18" spans="1:15" s="6" customFormat="1" ht="12.75" x14ac:dyDescent="0.2">
      <c r="A18" s="328" t="s">
        <v>267</v>
      </c>
      <c r="B18" s="338">
        <v>15</v>
      </c>
      <c r="C18" s="338"/>
      <c r="D18" s="339">
        <v>15</v>
      </c>
      <c r="E18" s="331" t="s">
        <v>256</v>
      </c>
      <c r="F18" s="335">
        <v>14.3</v>
      </c>
      <c r="G18" s="333"/>
      <c r="H18" s="328" t="s">
        <v>268</v>
      </c>
      <c r="I18" s="335"/>
      <c r="J18" s="335">
        <v>13.2</v>
      </c>
      <c r="K18" s="331"/>
      <c r="L18" s="335"/>
      <c r="M18" s="333"/>
      <c r="N18" s="357">
        <f>D18*(F18+I18+L18)+G18+J18+M18</f>
        <v>227.7</v>
      </c>
    </row>
    <row r="19" spans="1:15" s="6" customFormat="1" ht="12.75" x14ac:dyDescent="0.2">
      <c r="A19" s="340" t="s">
        <v>269</v>
      </c>
      <c r="B19" s="341">
        <v>200</v>
      </c>
      <c r="C19" s="341">
        <v>200</v>
      </c>
      <c r="D19" s="342">
        <v>2</v>
      </c>
      <c r="E19" s="343" t="s">
        <v>265</v>
      </c>
      <c r="F19" s="344">
        <v>10</v>
      </c>
      <c r="G19" s="345"/>
      <c r="H19" s="340" t="s">
        <v>270</v>
      </c>
      <c r="I19" s="344"/>
      <c r="J19" s="344">
        <v>22</v>
      </c>
      <c r="K19" s="343"/>
      <c r="L19" s="344"/>
      <c r="M19" s="345"/>
      <c r="N19" s="357">
        <f t="shared" si="0"/>
        <v>42</v>
      </c>
    </row>
    <row r="20" spans="1:15" s="6" customFormat="1" ht="12.75" x14ac:dyDescent="0.2">
      <c r="A20" s="340" t="s">
        <v>271</v>
      </c>
      <c r="B20" s="341">
        <v>2</v>
      </c>
      <c r="C20" s="341"/>
      <c r="D20" s="342">
        <v>2</v>
      </c>
      <c r="E20" s="343" t="s">
        <v>256</v>
      </c>
      <c r="F20" s="344">
        <v>14.3</v>
      </c>
      <c r="G20" s="345"/>
      <c r="H20" s="346" t="s">
        <v>272</v>
      </c>
      <c r="I20" s="344"/>
      <c r="J20" s="344">
        <v>5.2</v>
      </c>
      <c r="K20" s="340"/>
      <c r="L20" s="344"/>
      <c r="M20" s="345"/>
      <c r="N20" s="357">
        <f t="shared" si="0"/>
        <v>33.800000000000004</v>
      </c>
    </row>
    <row r="21" spans="1:15" s="6" customFormat="1" ht="12.75" x14ac:dyDescent="0.2">
      <c r="A21" s="340" t="s">
        <v>273</v>
      </c>
      <c r="B21" s="341">
        <v>50</v>
      </c>
      <c r="C21" s="341">
        <v>50</v>
      </c>
      <c r="D21" s="342">
        <v>2</v>
      </c>
      <c r="E21" s="343" t="s">
        <v>265</v>
      </c>
      <c r="F21" s="344">
        <v>10</v>
      </c>
      <c r="G21" s="345"/>
      <c r="H21" s="340" t="s">
        <v>274</v>
      </c>
      <c r="I21" s="344"/>
      <c r="J21" s="344"/>
      <c r="K21" s="340"/>
      <c r="L21" s="344"/>
      <c r="M21" s="345"/>
      <c r="N21" s="357">
        <f t="shared" si="0"/>
        <v>20</v>
      </c>
    </row>
    <row r="22" spans="1:15" s="6" customFormat="1" ht="12.75" x14ac:dyDescent="0.2">
      <c r="A22" s="343" t="s">
        <v>275</v>
      </c>
      <c r="B22" s="347">
        <v>20</v>
      </c>
      <c r="C22" s="347">
        <v>20</v>
      </c>
      <c r="D22" s="348">
        <v>1</v>
      </c>
      <c r="E22" s="343" t="s">
        <v>265</v>
      </c>
      <c r="F22" s="349">
        <v>10</v>
      </c>
      <c r="G22" s="345"/>
      <c r="H22" s="350" t="s">
        <v>276</v>
      </c>
      <c r="I22" s="344"/>
      <c r="J22" s="344"/>
      <c r="K22" s="340"/>
      <c r="L22" s="344"/>
      <c r="M22" s="345"/>
      <c r="N22" s="357">
        <f t="shared" si="0"/>
        <v>10</v>
      </c>
    </row>
    <row r="23" spans="1:15" s="6" customFormat="1" ht="12.75" x14ac:dyDescent="0.2">
      <c r="A23" s="343"/>
      <c r="B23" s="347"/>
      <c r="C23" s="347"/>
      <c r="D23" s="348"/>
      <c r="E23" s="343"/>
      <c r="F23" s="349"/>
      <c r="G23" s="345"/>
      <c r="H23" s="350"/>
      <c r="I23" s="344"/>
      <c r="J23" s="344"/>
      <c r="K23" s="340"/>
      <c r="L23" s="344"/>
      <c r="M23" s="345"/>
      <c r="N23" s="357">
        <f t="shared" si="0"/>
        <v>0</v>
      </c>
    </row>
    <row r="24" spans="1:15" s="6" customFormat="1" ht="12.75" x14ac:dyDescent="0.2">
      <c r="A24" s="340"/>
      <c r="B24" s="347"/>
      <c r="C24" s="347"/>
      <c r="D24" s="348"/>
      <c r="E24" s="343"/>
      <c r="F24" s="349"/>
      <c r="G24" s="345"/>
      <c r="H24" s="350"/>
      <c r="I24" s="344"/>
      <c r="J24" s="344"/>
      <c r="K24" s="340"/>
      <c r="L24" s="344"/>
      <c r="M24" s="345"/>
      <c r="N24" s="357">
        <f t="shared" si="0"/>
        <v>0</v>
      </c>
    </row>
    <row r="25" spans="1:15" s="6" customFormat="1" ht="12.75" x14ac:dyDescent="0.2">
      <c r="A25" s="331"/>
      <c r="B25" s="347"/>
      <c r="C25" s="347"/>
      <c r="D25" s="348"/>
      <c r="E25" s="343"/>
      <c r="F25" s="349"/>
      <c r="G25" s="345"/>
      <c r="H25" s="350"/>
      <c r="I25" s="344"/>
      <c r="J25" s="344"/>
      <c r="K25" s="340"/>
      <c r="L25" s="344"/>
      <c r="M25" s="345"/>
      <c r="N25" s="357">
        <f t="shared" si="0"/>
        <v>0</v>
      </c>
      <c r="O25" s="170"/>
    </row>
    <row r="26" spans="1:15" s="6" customFormat="1" ht="12.75" x14ac:dyDescent="0.2">
      <c r="A26" s="331"/>
      <c r="B26" s="347"/>
      <c r="C26" s="347"/>
      <c r="D26" s="348"/>
      <c r="E26" s="343"/>
      <c r="F26" s="349"/>
      <c r="G26" s="345"/>
      <c r="H26" s="350"/>
      <c r="I26" s="344"/>
      <c r="J26" s="344"/>
      <c r="K26" s="340"/>
      <c r="L26" s="344"/>
      <c r="M26" s="345"/>
      <c r="N26" s="357">
        <f t="shared" si="0"/>
        <v>0</v>
      </c>
    </row>
    <row r="27" spans="1:15" s="6" customFormat="1" ht="12.75" x14ac:dyDescent="0.2">
      <c r="A27" s="343"/>
      <c r="B27" s="347"/>
      <c r="C27" s="347"/>
      <c r="D27" s="348"/>
      <c r="E27" s="343"/>
      <c r="F27" s="349"/>
      <c r="G27" s="345"/>
      <c r="H27" s="350"/>
      <c r="I27" s="344"/>
      <c r="J27" s="344"/>
      <c r="K27" s="340"/>
      <c r="L27" s="344"/>
      <c r="M27" s="345"/>
      <c r="N27" s="357">
        <f t="shared" si="0"/>
        <v>0</v>
      </c>
    </row>
    <row r="28" spans="1:15" s="6" customFormat="1" ht="12.75" x14ac:dyDescent="0.2">
      <c r="A28" s="343"/>
      <c r="B28" s="347"/>
      <c r="C28" s="347"/>
      <c r="D28" s="348"/>
      <c r="E28" s="343"/>
      <c r="F28" s="349"/>
      <c r="G28" s="345"/>
      <c r="H28" s="350"/>
      <c r="I28" s="344"/>
      <c r="J28" s="344"/>
      <c r="K28" s="340"/>
      <c r="L28" s="344"/>
      <c r="M28" s="345"/>
      <c r="N28" s="357">
        <f t="shared" si="0"/>
        <v>0</v>
      </c>
    </row>
    <row r="29" spans="1:15" s="6" customFormat="1" ht="12.75" x14ac:dyDescent="0.2">
      <c r="A29" s="343"/>
      <c r="B29" s="347"/>
      <c r="C29" s="347"/>
      <c r="D29" s="348"/>
      <c r="E29" s="343"/>
      <c r="F29" s="349"/>
      <c r="G29" s="345"/>
      <c r="H29" s="350"/>
      <c r="I29" s="344"/>
      <c r="J29" s="344"/>
      <c r="K29" s="340"/>
      <c r="L29" s="344"/>
      <c r="M29" s="345"/>
      <c r="N29" s="357">
        <f t="shared" si="0"/>
        <v>0</v>
      </c>
    </row>
    <row r="30" spans="1:15" s="6" customFormat="1" ht="12.75" x14ac:dyDescent="0.2">
      <c r="A30" s="343"/>
      <c r="B30" s="347"/>
      <c r="C30" s="347"/>
      <c r="D30" s="348"/>
      <c r="E30" s="343"/>
      <c r="F30" s="349"/>
      <c r="G30" s="345"/>
      <c r="H30" s="350"/>
      <c r="I30" s="344"/>
      <c r="J30" s="344"/>
      <c r="K30" s="340"/>
      <c r="L30" s="344"/>
      <c r="M30" s="345"/>
      <c r="N30" s="357">
        <f t="shared" si="0"/>
        <v>0</v>
      </c>
    </row>
    <row r="31" spans="1:15" s="6" customFormat="1" ht="12.75" x14ac:dyDescent="0.2">
      <c r="A31" s="343"/>
      <c r="B31" s="347"/>
      <c r="C31" s="347"/>
      <c r="D31" s="348"/>
      <c r="E31" s="343"/>
      <c r="F31" s="349"/>
      <c r="G31" s="345"/>
      <c r="H31" s="350"/>
      <c r="I31" s="344"/>
      <c r="J31" s="344"/>
      <c r="K31" s="340"/>
      <c r="L31" s="344"/>
      <c r="M31" s="345"/>
      <c r="N31" s="357">
        <f t="shared" si="0"/>
        <v>0</v>
      </c>
    </row>
    <row r="32" spans="1:15" s="6" customFormat="1" ht="12.75" x14ac:dyDescent="0.2">
      <c r="A32" s="343"/>
      <c r="B32" s="347"/>
      <c r="C32" s="347"/>
      <c r="D32" s="348"/>
      <c r="E32" s="343"/>
      <c r="F32" s="349"/>
      <c r="G32" s="345"/>
      <c r="H32" s="350"/>
      <c r="I32" s="344"/>
      <c r="J32" s="344"/>
      <c r="K32" s="340"/>
      <c r="L32" s="344"/>
      <c r="M32" s="345"/>
      <c r="N32" s="357">
        <f t="shared" si="0"/>
        <v>0</v>
      </c>
    </row>
    <row r="33" spans="1:14" s="6" customFormat="1" ht="13.7" customHeight="1" x14ac:dyDescent="0.25">
      <c r="A33" s="340"/>
      <c r="B33" s="341"/>
      <c r="C33" s="341"/>
      <c r="D33" s="342"/>
      <c r="E33" s="343"/>
      <c r="F33" s="344"/>
      <c r="G33" s="345"/>
      <c r="H33" s="340"/>
      <c r="I33" s="344"/>
      <c r="J33" s="344"/>
      <c r="K33" s="343"/>
      <c r="L33" s="344"/>
      <c r="M33" s="345"/>
      <c r="N33" s="357">
        <f t="shared" ref="N33:N38" si="1">D33*(F33+I33+L33)+G33+J33+M33</f>
        <v>0</v>
      </c>
    </row>
    <row r="34" spans="1:14" s="6" customFormat="1" ht="13.7" customHeight="1" x14ac:dyDescent="0.2">
      <c r="A34" s="340"/>
      <c r="B34" s="341"/>
      <c r="C34" s="341"/>
      <c r="D34" s="342"/>
      <c r="E34" s="343"/>
      <c r="F34" s="344"/>
      <c r="G34" s="345"/>
      <c r="H34" s="340"/>
      <c r="I34" s="344"/>
      <c r="J34" s="344"/>
      <c r="K34" s="343"/>
      <c r="L34" s="344"/>
      <c r="M34" s="345"/>
      <c r="N34" s="357">
        <f t="shared" si="1"/>
        <v>0</v>
      </c>
    </row>
    <row r="35" spans="1:14" s="6" customFormat="1" ht="13.7" customHeight="1" x14ac:dyDescent="0.2">
      <c r="A35" s="343"/>
      <c r="B35" s="347"/>
      <c r="C35" s="347"/>
      <c r="D35" s="348"/>
      <c r="E35" s="340"/>
      <c r="F35" s="344"/>
      <c r="G35" s="345"/>
      <c r="H35" s="340"/>
      <c r="I35" s="344"/>
      <c r="J35" s="344"/>
      <c r="K35" s="340"/>
      <c r="L35" s="344"/>
      <c r="M35" s="345"/>
      <c r="N35" s="357">
        <f t="shared" si="1"/>
        <v>0</v>
      </c>
    </row>
    <row r="36" spans="1:14" s="6" customFormat="1" ht="13.7" customHeight="1" x14ac:dyDescent="0.2">
      <c r="A36" s="343"/>
      <c r="B36" s="347"/>
      <c r="C36" s="347"/>
      <c r="D36" s="348"/>
      <c r="E36" s="340"/>
      <c r="F36" s="344"/>
      <c r="G36" s="345"/>
      <c r="H36" s="340"/>
      <c r="I36" s="344"/>
      <c r="J36" s="344"/>
      <c r="K36" s="340"/>
      <c r="L36" s="344"/>
      <c r="M36" s="345"/>
      <c r="N36" s="357">
        <f t="shared" si="1"/>
        <v>0</v>
      </c>
    </row>
    <row r="37" spans="1:14" s="6" customFormat="1" ht="13.7" customHeight="1" x14ac:dyDescent="0.2">
      <c r="A37" s="343"/>
      <c r="B37" s="347"/>
      <c r="C37" s="347"/>
      <c r="D37" s="348"/>
      <c r="E37" s="340"/>
      <c r="F37" s="344"/>
      <c r="G37" s="345"/>
      <c r="H37" s="340"/>
      <c r="I37" s="344"/>
      <c r="J37" s="344"/>
      <c r="K37" s="340"/>
      <c r="L37" s="344"/>
      <c r="M37" s="345"/>
      <c r="N37" s="357">
        <f t="shared" si="1"/>
        <v>0</v>
      </c>
    </row>
    <row r="38" spans="1:14" s="6" customFormat="1" ht="13.7" customHeight="1" thickBot="1" x14ac:dyDescent="0.25">
      <c r="A38" s="351"/>
      <c r="B38" s="352"/>
      <c r="C38" s="352"/>
      <c r="D38" s="353"/>
      <c r="E38" s="354"/>
      <c r="F38" s="355"/>
      <c r="G38" s="356"/>
      <c r="H38" s="354"/>
      <c r="I38" s="344"/>
      <c r="J38" s="344"/>
      <c r="K38" s="354"/>
      <c r="L38" s="355"/>
      <c r="M38" s="356"/>
      <c r="N38" s="358">
        <f t="shared" si="1"/>
        <v>0</v>
      </c>
    </row>
    <row r="39" spans="1:14" s="6" customFormat="1" ht="13.7" customHeight="1" thickBot="1" x14ac:dyDescent="0.3">
      <c r="A39" s="22" t="s">
        <v>11</v>
      </c>
      <c r="B39" s="23">
        <f>SUM(B10:B38)</f>
        <v>1824</v>
      </c>
      <c r="C39" s="23">
        <f>SUM(C10:C38)</f>
        <v>1710</v>
      </c>
      <c r="D39" s="23">
        <f>SUM(D10:D38)</f>
        <v>99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2">
        <f>SUM(N10:N38)</f>
        <v>1495.79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71" t="s">
        <v>179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71" t="s">
        <v>217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325" t="s">
        <v>323</v>
      </c>
      <c r="C47" s="326"/>
      <c r="D47" s="327"/>
      <c r="E47" s="327"/>
      <c r="F47" s="327"/>
      <c r="G47" s="327"/>
      <c r="H47" s="327"/>
      <c r="I47" t="s">
        <v>1</v>
      </c>
      <c r="K47" s="325" t="s">
        <v>19</v>
      </c>
    </row>
    <row r="48" spans="1:14" x14ac:dyDescent="0.2">
      <c r="B48" s="327"/>
      <c r="C48" s="327"/>
      <c r="D48" s="327"/>
      <c r="E48" s="327"/>
      <c r="F48" s="327"/>
      <c r="G48" s="327"/>
      <c r="H48" s="327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71"/>
    </row>
    <row r="51" spans="1:15" x14ac:dyDescent="0.2">
      <c r="A51" s="340" t="s">
        <v>218</v>
      </c>
      <c r="B51" s="341">
        <f>'Einzelkosten Junganlage'!C38</f>
        <v>937.5</v>
      </c>
      <c r="C51" s="341">
        <f>B51</f>
        <v>937.5</v>
      </c>
      <c r="D51" s="342">
        <v>15</v>
      </c>
      <c r="E51" s="359" t="s">
        <v>256</v>
      </c>
      <c r="F51" s="344">
        <v>14.3</v>
      </c>
      <c r="G51" s="345"/>
      <c r="H51" s="350" t="s">
        <v>309</v>
      </c>
      <c r="I51" s="344">
        <v>0.17</v>
      </c>
      <c r="J51" s="344"/>
      <c r="K51" s="360" t="s">
        <v>265</v>
      </c>
      <c r="L51" s="344"/>
      <c r="M51" s="361">
        <v>70</v>
      </c>
      <c r="N51" s="357">
        <f t="shared" ref="N51:N75" si="2">D51*(F51+I51+L51)+G51+J51+M51</f>
        <v>287.05</v>
      </c>
    </row>
    <row r="52" spans="1:15" ht="13.7" customHeight="1" x14ac:dyDescent="0.2">
      <c r="A52" s="343" t="s">
        <v>219</v>
      </c>
      <c r="B52" s="347">
        <f>'Einzelkosten Junganlage'!C39</f>
        <v>20</v>
      </c>
      <c r="C52" s="347"/>
      <c r="D52" s="348">
        <v>3</v>
      </c>
      <c r="E52" s="343" t="s">
        <v>310</v>
      </c>
      <c r="F52" s="349">
        <v>6.56</v>
      </c>
      <c r="G52" s="345"/>
      <c r="H52" s="340"/>
      <c r="I52" s="344"/>
      <c r="J52" s="344"/>
      <c r="K52" s="340"/>
      <c r="L52" s="344"/>
      <c r="M52" s="345"/>
      <c r="N52" s="357">
        <f t="shared" si="2"/>
        <v>19.68</v>
      </c>
    </row>
    <row r="53" spans="1:15" ht="13.7" customHeight="1" x14ac:dyDescent="0.2">
      <c r="A53" s="343" t="s">
        <v>255</v>
      </c>
      <c r="B53" s="347">
        <v>4</v>
      </c>
      <c r="C53" s="347"/>
      <c r="D53" s="348">
        <v>4</v>
      </c>
      <c r="E53" s="350" t="s">
        <v>256</v>
      </c>
      <c r="F53" s="344">
        <v>14.3</v>
      </c>
      <c r="G53" s="345"/>
      <c r="H53" s="350" t="s">
        <v>257</v>
      </c>
      <c r="I53" s="344"/>
      <c r="J53" s="344">
        <v>0.8</v>
      </c>
      <c r="K53" s="340" t="s">
        <v>258</v>
      </c>
      <c r="L53" s="344"/>
      <c r="M53" s="345">
        <v>0.45</v>
      </c>
      <c r="N53" s="357">
        <f>D53*(F53+I53+L53)+G53+J53*2+M53*2</f>
        <v>59.7</v>
      </c>
    </row>
    <row r="54" spans="1:15" ht="13.7" customHeight="1" x14ac:dyDescent="0.2">
      <c r="A54" s="343" t="s">
        <v>278</v>
      </c>
      <c r="B54" s="347">
        <v>4</v>
      </c>
      <c r="C54" s="347"/>
      <c r="D54" s="348">
        <v>4</v>
      </c>
      <c r="E54" s="340" t="s">
        <v>256</v>
      </c>
      <c r="F54" s="344">
        <v>14.3</v>
      </c>
      <c r="G54" s="345"/>
      <c r="H54" s="350" t="s">
        <v>260</v>
      </c>
      <c r="I54" s="344"/>
      <c r="J54" s="344">
        <v>1.5</v>
      </c>
      <c r="K54" s="340"/>
      <c r="L54" s="344"/>
      <c r="M54" s="345"/>
      <c r="N54" s="357">
        <f>D54*(F54+I54+L54)+G54+J54*2+M54</f>
        <v>60.2</v>
      </c>
    </row>
    <row r="55" spans="1:15" ht="13.7" customHeight="1" x14ac:dyDescent="0.2">
      <c r="A55" s="343" t="s">
        <v>261</v>
      </c>
      <c r="B55" s="347">
        <v>14</v>
      </c>
      <c r="C55" s="347"/>
      <c r="D55" s="348">
        <v>14</v>
      </c>
      <c r="E55" s="340" t="s">
        <v>256</v>
      </c>
      <c r="F55" s="344">
        <v>14.3</v>
      </c>
      <c r="G55" s="345"/>
      <c r="H55" s="340" t="s">
        <v>262</v>
      </c>
      <c r="I55" s="344"/>
      <c r="J55" s="344">
        <v>2.4</v>
      </c>
      <c r="K55" s="340"/>
      <c r="L55" s="344"/>
      <c r="M55" s="345"/>
      <c r="N55" s="357">
        <f>D55*(F55+I55+L55)+G55+J55*7+M55</f>
        <v>217.00000000000003</v>
      </c>
    </row>
    <row r="56" spans="1:15" ht="13.7" customHeight="1" x14ac:dyDescent="0.2">
      <c r="A56" s="343" t="s">
        <v>263</v>
      </c>
      <c r="B56" s="347">
        <v>10</v>
      </c>
      <c r="C56" s="347"/>
      <c r="D56" s="348">
        <v>10</v>
      </c>
      <c r="E56" s="340" t="s">
        <v>256</v>
      </c>
      <c r="F56" s="344">
        <v>14.3</v>
      </c>
      <c r="G56" s="345"/>
      <c r="H56" s="340" t="s">
        <v>264</v>
      </c>
      <c r="I56" s="344"/>
      <c r="J56" s="344">
        <v>5.2</v>
      </c>
      <c r="K56" s="340"/>
      <c r="L56" s="344"/>
      <c r="M56" s="345"/>
      <c r="N56" s="357">
        <f>D56*(F56+I56+L56)+G56+J56*5+M56</f>
        <v>169</v>
      </c>
    </row>
    <row r="57" spans="1:15" ht="13.7" customHeight="1" x14ac:dyDescent="0.2">
      <c r="A57" s="340" t="s">
        <v>105</v>
      </c>
      <c r="B57" s="341">
        <v>5</v>
      </c>
      <c r="C57" s="341"/>
      <c r="D57" s="342">
        <v>5</v>
      </c>
      <c r="E57" s="343" t="s">
        <v>265</v>
      </c>
      <c r="F57" s="344">
        <v>10</v>
      </c>
      <c r="G57" s="345"/>
      <c r="H57" s="340"/>
      <c r="I57" s="344"/>
      <c r="J57" s="344"/>
      <c r="K57" s="343"/>
      <c r="L57" s="344"/>
      <c r="M57" s="345"/>
      <c r="N57" s="357">
        <f t="shared" ref="N57:N58" si="3">D57*(F57+I57+L57)+G57+J57+M57</f>
        <v>50</v>
      </c>
    </row>
    <row r="58" spans="1:15" ht="13.7" customHeight="1" x14ac:dyDescent="0.2">
      <c r="A58" s="340" t="s">
        <v>266</v>
      </c>
      <c r="B58" s="341">
        <v>10</v>
      </c>
      <c r="C58" s="341"/>
      <c r="D58" s="342">
        <v>10</v>
      </c>
      <c r="E58" s="343" t="s">
        <v>265</v>
      </c>
      <c r="F58" s="344">
        <v>10</v>
      </c>
      <c r="G58" s="345"/>
      <c r="H58" s="340"/>
      <c r="I58" s="344"/>
      <c r="J58" s="344"/>
      <c r="K58" s="343"/>
      <c r="L58" s="344"/>
      <c r="M58" s="345"/>
      <c r="N58" s="357">
        <f t="shared" si="3"/>
        <v>100</v>
      </c>
    </row>
    <row r="59" spans="1:15" ht="13.7" customHeight="1" x14ac:dyDescent="0.2">
      <c r="A59" s="340" t="s">
        <v>279</v>
      </c>
      <c r="B59" s="341">
        <v>25</v>
      </c>
      <c r="C59" s="341"/>
      <c r="D59" s="342">
        <v>25</v>
      </c>
      <c r="E59" s="343" t="s">
        <v>256</v>
      </c>
      <c r="F59" s="344">
        <v>14.3</v>
      </c>
      <c r="G59" s="345"/>
      <c r="H59" s="346" t="s">
        <v>268</v>
      </c>
      <c r="I59" s="344"/>
      <c r="J59" s="345">
        <v>40</v>
      </c>
      <c r="K59" s="362"/>
      <c r="L59" s="344"/>
      <c r="M59" s="345"/>
      <c r="N59" s="357">
        <f t="shared" si="2"/>
        <v>397.5</v>
      </c>
    </row>
    <row r="60" spans="1:15" ht="13.7" customHeight="1" x14ac:dyDescent="0.2">
      <c r="A60" s="340" t="s">
        <v>280</v>
      </c>
      <c r="B60" s="341">
        <v>60</v>
      </c>
      <c r="C60" s="341">
        <v>60</v>
      </c>
      <c r="D60" s="342">
        <v>2</v>
      </c>
      <c r="E60" s="343" t="s">
        <v>265</v>
      </c>
      <c r="F60" s="344">
        <v>10</v>
      </c>
      <c r="G60" s="345"/>
      <c r="H60" s="340"/>
      <c r="I60" s="344"/>
      <c r="J60" s="345"/>
      <c r="K60" s="362"/>
      <c r="L60" s="344"/>
      <c r="M60" s="345"/>
      <c r="N60" s="357">
        <f t="shared" si="2"/>
        <v>20</v>
      </c>
    </row>
    <row r="61" spans="1:15" ht="13.7" customHeight="1" x14ac:dyDescent="0.2">
      <c r="A61" s="340" t="s">
        <v>275</v>
      </c>
      <c r="B61" s="341">
        <v>20</v>
      </c>
      <c r="C61" s="341">
        <v>20</v>
      </c>
      <c r="D61" s="342">
        <v>1</v>
      </c>
      <c r="E61" s="343" t="s">
        <v>265</v>
      </c>
      <c r="F61" s="344">
        <v>10</v>
      </c>
      <c r="G61" s="345"/>
      <c r="H61" s="340"/>
      <c r="I61" s="344"/>
      <c r="J61" s="344"/>
      <c r="K61" s="343"/>
      <c r="L61" s="344"/>
      <c r="M61" s="345"/>
      <c r="N61" s="357">
        <f t="shared" si="2"/>
        <v>10</v>
      </c>
    </row>
    <row r="62" spans="1:15" ht="13.7" customHeight="1" x14ac:dyDescent="0.2">
      <c r="A62" s="340"/>
      <c r="B62" s="341"/>
      <c r="C62" s="341"/>
      <c r="D62" s="342"/>
      <c r="E62" s="343"/>
      <c r="F62" s="344"/>
      <c r="G62" s="345"/>
      <c r="H62" s="340"/>
      <c r="I62" s="344"/>
      <c r="J62" s="344"/>
      <c r="K62" s="343"/>
      <c r="L62" s="344"/>
      <c r="M62" s="345"/>
      <c r="N62" s="357">
        <f t="shared" si="2"/>
        <v>0</v>
      </c>
    </row>
    <row r="63" spans="1:15" ht="13.7" customHeight="1" x14ac:dyDescent="0.2">
      <c r="A63" s="340"/>
      <c r="B63" s="341"/>
      <c r="C63" s="341"/>
      <c r="D63" s="342"/>
      <c r="E63" s="343"/>
      <c r="F63" s="344"/>
      <c r="G63" s="345"/>
      <c r="H63" s="340"/>
      <c r="I63" s="344"/>
      <c r="J63" s="344"/>
      <c r="K63" s="343"/>
      <c r="L63" s="344"/>
      <c r="M63" s="345"/>
      <c r="N63" s="357">
        <f t="shared" si="2"/>
        <v>0</v>
      </c>
    </row>
    <row r="64" spans="1:15" ht="13.7" customHeight="1" x14ac:dyDescent="0.2">
      <c r="A64" s="343"/>
      <c r="B64" s="347"/>
      <c r="C64" s="347"/>
      <c r="D64" s="348"/>
      <c r="E64" s="340"/>
      <c r="F64" s="344"/>
      <c r="G64" s="345"/>
      <c r="H64" s="340"/>
      <c r="I64" s="344"/>
      <c r="J64" s="344"/>
      <c r="K64" s="340"/>
      <c r="L64" s="344"/>
      <c r="M64" s="345"/>
      <c r="N64" s="357">
        <f t="shared" si="2"/>
        <v>0</v>
      </c>
    </row>
    <row r="65" spans="1:14" ht="13.7" customHeight="1" x14ac:dyDescent="0.2">
      <c r="A65" s="343"/>
      <c r="B65" s="347"/>
      <c r="C65" s="347"/>
      <c r="D65" s="348"/>
      <c r="E65" s="340"/>
      <c r="F65" s="344"/>
      <c r="G65" s="345"/>
      <c r="H65" s="340"/>
      <c r="I65" s="344"/>
      <c r="J65" s="345"/>
      <c r="K65" s="363"/>
      <c r="L65" s="344"/>
      <c r="M65" s="345"/>
      <c r="N65" s="357">
        <f t="shared" si="2"/>
        <v>0</v>
      </c>
    </row>
    <row r="66" spans="1:14" ht="13.7" customHeight="1" x14ac:dyDescent="0.2">
      <c r="A66" s="364"/>
      <c r="B66" s="365"/>
      <c r="C66" s="347"/>
      <c r="D66" s="348"/>
      <c r="E66" s="340"/>
      <c r="F66" s="344"/>
      <c r="G66" s="345"/>
      <c r="H66" s="340"/>
      <c r="I66" s="344"/>
      <c r="J66" s="344"/>
      <c r="K66" s="340"/>
      <c r="L66" s="344"/>
      <c r="M66" s="345"/>
      <c r="N66" s="357">
        <f t="shared" si="2"/>
        <v>0</v>
      </c>
    </row>
    <row r="67" spans="1:14" ht="13.7" customHeight="1" x14ac:dyDescent="0.2">
      <c r="A67" s="343"/>
      <c r="B67" s="347"/>
      <c r="C67" s="347"/>
      <c r="D67" s="348"/>
      <c r="E67" s="340"/>
      <c r="F67" s="344"/>
      <c r="G67" s="345"/>
      <c r="H67" s="340"/>
      <c r="I67" s="344"/>
      <c r="J67" s="344"/>
      <c r="K67" s="340"/>
      <c r="L67" s="344"/>
      <c r="M67" s="345"/>
      <c r="N67" s="357">
        <f t="shared" si="2"/>
        <v>0</v>
      </c>
    </row>
    <row r="68" spans="1:14" ht="13.7" customHeight="1" x14ac:dyDescent="0.2">
      <c r="A68" s="343"/>
      <c r="B68" s="347"/>
      <c r="C68" s="347"/>
      <c r="D68" s="348"/>
      <c r="E68" s="340"/>
      <c r="F68" s="344"/>
      <c r="G68" s="345"/>
      <c r="H68" s="340"/>
      <c r="I68" s="344"/>
      <c r="J68" s="344"/>
      <c r="K68" s="340"/>
      <c r="L68" s="344"/>
      <c r="M68" s="345"/>
      <c r="N68" s="357">
        <f t="shared" si="2"/>
        <v>0</v>
      </c>
    </row>
    <row r="69" spans="1:14" ht="13.7" customHeight="1" x14ac:dyDescent="0.2">
      <c r="A69" s="343"/>
      <c r="B69" s="347"/>
      <c r="C69" s="347"/>
      <c r="D69" s="348"/>
      <c r="E69" s="340"/>
      <c r="F69" s="344"/>
      <c r="G69" s="345"/>
      <c r="H69" s="340"/>
      <c r="I69" s="344"/>
      <c r="J69" s="344"/>
      <c r="K69" s="340"/>
      <c r="L69" s="344"/>
      <c r="M69" s="345"/>
      <c r="N69" s="357">
        <f t="shared" si="2"/>
        <v>0</v>
      </c>
    </row>
    <row r="70" spans="1:14" ht="13.7" customHeight="1" x14ac:dyDescent="0.2">
      <c r="A70" s="343"/>
      <c r="B70" s="347"/>
      <c r="C70" s="347"/>
      <c r="D70" s="348"/>
      <c r="E70" s="340"/>
      <c r="F70" s="344"/>
      <c r="G70" s="345"/>
      <c r="H70" s="350"/>
      <c r="I70" s="344"/>
      <c r="J70" s="344"/>
      <c r="K70" s="340"/>
      <c r="L70" s="344"/>
      <c r="M70" s="345"/>
      <c r="N70" s="357">
        <f t="shared" si="2"/>
        <v>0</v>
      </c>
    </row>
    <row r="71" spans="1:14" ht="13.7" customHeight="1" x14ac:dyDescent="0.2">
      <c r="A71" s="366"/>
      <c r="B71" s="347"/>
      <c r="C71" s="347"/>
      <c r="D71" s="348"/>
      <c r="E71" s="340"/>
      <c r="F71" s="344"/>
      <c r="G71" s="345"/>
      <c r="H71" s="340"/>
      <c r="I71" s="344"/>
      <c r="J71" s="344"/>
      <c r="K71" s="340"/>
      <c r="L71" s="344"/>
      <c r="M71" s="345"/>
      <c r="N71" s="357">
        <f t="shared" si="2"/>
        <v>0</v>
      </c>
    </row>
    <row r="72" spans="1:14" ht="13.7" customHeight="1" x14ac:dyDescent="0.2">
      <c r="A72" s="343"/>
      <c r="B72" s="347"/>
      <c r="C72" s="347"/>
      <c r="D72" s="348"/>
      <c r="E72" s="340"/>
      <c r="F72" s="344"/>
      <c r="G72" s="345"/>
      <c r="H72" s="340"/>
      <c r="I72" s="344"/>
      <c r="J72" s="344"/>
      <c r="K72" s="340"/>
      <c r="L72" s="344"/>
      <c r="M72" s="345"/>
      <c r="N72" s="357">
        <f t="shared" si="2"/>
        <v>0</v>
      </c>
    </row>
    <row r="73" spans="1:14" ht="13.7" customHeight="1" x14ac:dyDescent="0.2">
      <c r="A73" s="343"/>
      <c r="B73" s="347"/>
      <c r="C73" s="347"/>
      <c r="D73" s="348"/>
      <c r="E73" s="340"/>
      <c r="F73" s="344"/>
      <c r="G73" s="345"/>
      <c r="H73" s="340"/>
      <c r="I73" s="344"/>
      <c r="J73" s="344"/>
      <c r="K73" s="340"/>
      <c r="L73" s="344"/>
      <c r="M73" s="345"/>
      <c r="N73" s="357">
        <f t="shared" si="2"/>
        <v>0</v>
      </c>
    </row>
    <row r="74" spans="1:14" ht="13.7" customHeight="1" x14ac:dyDescent="0.2">
      <c r="A74" s="343"/>
      <c r="B74" s="347"/>
      <c r="C74" s="347"/>
      <c r="D74" s="348"/>
      <c r="E74" s="340"/>
      <c r="F74" s="344"/>
      <c r="G74" s="345"/>
      <c r="H74" s="340"/>
      <c r="I74" s="344"/>
      <c r="J74" s="344"/>
      <c r="K74" s="340"/>
      <c r="L74" s="344"/>
      <c r="M74" s="345"/>
      <c r="N74" s="357">
        <f t="shared" si="2"/>
        <v>0</v>
      </c>
    </row>
    <row r="75" spans="1:14" ht="13.7" customHeight="1" x14ac:dyDescent="0.2">
      <c r="A75" s="351"/>
      <c r="B75" s="352"/>
      <c r="C75" s="352"/>
      <c r="D75" s="353"/>
      <c r="E75" s="354"/>
      <c r="F75" s="355"/>
      <c r="G75" s="356"/>
      <c r="H75" s="354"/>
      <c r="I75" s="344"/>
      <c r="J75" s="344"/>
      <c r="K75" s="354"/>
      <c r="L75" s="355"/>
      <c r="M75" s="356"/>
      <c r="N75" s="357">
        <f t="shared" si="2"/>
        <v>0</v>
      </c>
    </row>
    <row r="76" spans="1:14" ht="13.7" customHeight="1" thickBot="1" x14ac:dyDescent="0.25">
      <c r="A76" s="351"/>
      <c r="B76" s="352"/>
      <c r="C76" s="352"/>
      <c r="D76" s="353"/>
      <c r="E76" s="354"/>
      <c r="F76" s="355"/>
      <c r="G76" s="356"/>
      <c r="H76" s="354"/>
      <c r="I76" s="344"/>
      <c r="J76" s="344"/>
      <c r="K76" s="354"/>
      <c r="L76" s="355"/>
      <c r="M76" s="356"/>
      <c r="N76" s="358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1109.5</v>
      </c>
      <c r="C77" s="23">
        <f>SUM(C51:C76)</f>
        <v>1017.5</v>
      </c>
      <c r="D77" s="23">
        <f>SUM(D51:D76)</f>
        <v>93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2">
        <f>SUM(N51:N76)</f>
        <v>1390.13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71" t="s">
        <v>179</v>
      </c>
      <c r="I81" s="6"/>
      <c r="J81" s="6"/>
      <c r="K81" s="6"/>
      <c r="L81" s="6"/>
      <c r="M81" s="6"/>
      <c r="N81" s="6"/>
    </row>
    <row r="82" spans="1:16" ht="13.7" customHeight="1" x14ac:dyDescent="0.3">
      <c r="A82" s="471" t="s">
        <v>217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325" t="s">
        <v>323</v>
      </c>
      <c r="C85" s="326"/>
      <c r="D85" s="327"/>
      <c r="E85" s="327"/>
      <c r="F85" s="327"/>
      <c r="G85" s="327"/>
      <c r="H85" s="327"/>
      <c r="I85" t="s">
        <v>1</v>
      </c>
      <c r="K85" s="325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6"/>
      <c r="F87" s="157"/>
      <c r="G87" s="158"/>
      <c r="H87" s="156"/>
      <c r="I87" s="159"/>
      <c r="J87" s="159"/>
      <c r="K87" s="156"/>
      <c r="L87" s="159"/>
      <c r="M87" s="160"/>
      <c r="N87" s="161">
        <f t="shared" ref="N87:N93" si="4">D87*(F87+I87+L87)+G87+J87+M87</f>
        <v>0</v>
      </c>
    </row>
    <row r="88" spans="1:16" ht="13.7" customHeight="1" x14ac:dyDescent="0.2">
      <c r="A88" s="367" t="s">
        <v>281</v>
      </c>
      <c r="B88" s="368">
        <v>12</v>
      </c>
      <c r="C88" s="368">
        <v>12</v>
      </c>
      <c r="D88" s="369">
        <v>5</v>
      </c>
      <c r="E88" s="370" t="s">
        <v>256</v>
      </c>
      <c r="F88" s="371">
        <v>14.3</v>
      </c>
      <c r="G88" s="372"/>
      <c r="H88" s="370" t="s">
        <v>282</v>
      </c>
      <c r="I88" s="371"/>
      <c r="J88" s="371">
        <v>0.5</v>
      </c>
      <c r="K88" s="392"/>
      <c r="L88" s="371"/>
      <c r="M88" s="372"/>
      <c r="N88" s="373">
        <f t="shared" si="4"/>
        <v>72</v>
      </c>
    </row>
    <row r="89" spans="1:16" ht="13.7" customHeight="1" x14ac:dyDescent="0.2">
      <c r="A89" s="336" t="s">
        <v>283</v>
      </c>
      <c r="B89" s="374">
        <v>6</v>
      </c>
      <c r="C89" s="374">
        <v>6</v>
      </c>
      <c r="D89" s="375">
        <v>2</v>
      </c>
      <c r="E89" s="359" t="s">
        <v>256</v>
      </c>
      <c r="F89" s="344">
        <v>14.3</v>
      </c>
      <c r="G89" s="376"/>
      <c r="H89" s="377" t="s">
        <v>284</v>
      </c>
      <c r="I89" s="378"/>
      <c r="J89" s="378">
        <v>1</v>
      </c>
      <c r="K89" s="336"/>
      <c r="L89" s="378"/>
      <c r="M89" s="376"/>
      <c r="N89" s="380">
        <f t="shared" si="4"/>
        <v>29.6</v>
      </c>
    </row>
    <row r="90" spans="1:16" ht="13.7" customHeight="1" x14ac:dyDescent="0.2">
      <c r="A90" s="336" t="s">
        <v>285</v>
      </c>
      <c r="B90" s="374">
        <v>4</v>
      </c>
      <c r="C90" s="374"/>
      <c r="D90" s="375">
        <v>4</v>
      </c>
      <c r="E90" s="336" t="s">
        <v>256</v>
      </c>
      <c r="F90" s="378">
        <v>14.3</v>
      </c>
      <c r="G90" s="376"/>
      <c r="H90" s="379" t="s">
        <v>286</v>
      </c>
      <c r="I90" s="378"/>
      <c r="J90" s="378">
        <v>11</v>
      </c>
      <c r="K90" s="379"/>
      <c r="L90" s="378"/>
      <c r="M90" s="376"/>
      <c r="N90" s="380">
        <f t="shared" si="4"/>
        <v>68.2</v>
      </c>
    </row>
    <row r="91" spans="1:16" ht="13.7" customHeight="1" x14ac:dyDescent="0.2">
      <c r="A91" s="336"/>
      <c r="B91" s="374"/>
      <c r="C91" s="374"/>
      <c r="D91" s="375"/>
      <c r="E91" s="336"/>
      <c r="F91" s="378"/>
      <c r="G91" s="376"/>
      <c r="H91" s="379"/>
      <c r="I91" s="378"/>
      <c r="J91" s="378"/>
      <c r="K91" s="379"/>
      <c r="L91" s="378"/>
      <c r="M91" s="376"/>
      <c r="N91" s="380">
        <f t="shared" si="4"/>
        <v>0</v>
      </c>
    </row>
    <row r="92" spans="1:16" ht="13.7" customHeight="1" x14ac:dyDescent="0.2">
      <c r="A92" s="379"/>
      <c r="B92" s="374"/>
      <c r="C92" s="374"/>
      <c r="D92" s="375"/>
      <c r="E92" s="336"/>
      <c r="F92" s="378"/>
      <c r="G92" s="376"/>
      <c r="H92" s="379"/>
      <c r="I92" s="378"/>
      <c r="J92" s="378"/>
      <c r="K92" s="336"/>
      <c r="L92" s="378"/>
      <c r="M92" s="376"/>
      <c r="N92" s="380">
        <f t="shared" si="4"/>
        <v>0</v>
      </c>
    </row>
    <row r="93" spans="1:16" ht="13.7" customHeight="1" thickBot="1" x14ac:dyDescent="0.25">
      <c r="A93" s="381"/>
      <c r="B93" s="382"/>
      <c r="C93" s="382"/>
      <c r="D93" s="383"/>
      <c r="E93" s="384"/>
      <c r="F93" s="385"/>
      <c r="G93" s="386"/>
      <c r="H93" s="384"/>
      <c r="I93" s="385"/>
      <c r="J93" s="385"/>
      <c r="K93" s="384"/>
      <c r="L93" s="385"/>
      <c r="M93" s="386"/>
      <c r="N93" s="387">
        <f t="shared" si="4"/>
        <v>0</v>
      </c>
    </row>
    <row r="94" spans="1:16" ht="13.7" customHeight="1" thickBot="1" x14ac:dyDescent="0.25">
      <c r="A94" s="15" t="s">
        <v>22</v>
      </c>
      <c r="B94" s="16">
        <f>SUM(B88:B93)</f>
        <v>22</v>
      </c>
      <c r="C94" s="17">
        <f>SUM(C88:C93)</f>
        <v>18</v>
      </c>
      <c r="D94" s="18">
        <f>SUM(D88:D93)</f>
        <v>11</v>
      </c>
      <c r="E94" s="163"/>
      <c r="F94" s="165"/>
      <c r="G94" s="165"/>
      <c r="H94" s="164"/>
      <c r="I94" s="165"/>
      <c r="J94" s="165"/>
      <c r="K94" s="164" t="s">
        <v>23</v>
      </c>
      <c r="L94" s="165"/>
      <c r="M94" s="166"/>
      <c r="N94" s="167">
        <f>SUM(N87:N93)</f>
        <v>169.8</v>
      </c>
    </row>
    <row r="95" spans="1:16" ht="13.7" customHeight="1" x14ac:dyDescent="0.2">
      <c r="A95" s="336" t="s">
        <v>287</v>
      </c>
      <c r="B95" s="374">
        <v>2</v>
      </c>
      <c r="C95" s="374"/>
      <c r="D95" s="375">
        <v>2</v>
      </c>
      <c r="E95" s="359" t="s">
        <v>256</v>
      </c>
      <c r="F95" s="378">
        <v>19.3</v>
      </c>
      <c r="G95" s="376"/>
      <c r="H95" s="379" t="s">
        <v>288</v>
      </c>
      <c r="I95" s="378"/>
      <c r="J95" s="378">
        <v>12</v>
      </c>
      <c r="K95" s="379"/>
      <c r="L95" s="378"/>
      <c r="M95" s="376"/>
      <c r="N95" s="388">
        <f t="shared" ref="N95:N107" si="5">D95*(F95+I95+L95)+G95+J95+M95</f>
        <v>50.6</v>
      </c>
      <c r="O95" s="99"/>
      <c r="P95" s="99"/>
    </row>
    <row r="96" spans="1:16" ht="13.7" customHeight="1" x14ac:dyDescent="0.2">
      <c r="A96" s="336" t="s">
        <v>289</v>
      </c>
      <c r="B96" s="374">
        <v>2</v>
      </c>
      <c r="C96" s="374"/>
      <c r="D96" s="375">
        <v>2</v>
      </c>
      <c r="E96" s="379" t="s">
        <v>256</v>
      </c>
      <c r="F96" s="378">
        <v>19.3</v>
      </c>
      <c r="G96" s="376"/>
      <c r="H96" s="379" t="s">
        <v>290</v>
      </c>
      <c r="I96" s="378"/>
      <c r="J96" s="378">
        <v>7</v>
      </c>
      <c r="K96" s="379"/>
      <c r="L96" s="378"/>
      <c r="M96" s="376"/>
      <c r="N96" s="380">
        <f t="shared" si="5"/>
        <v>45.6</v>
      </c>
      <c r="O96" s="99"/>
      <c r="P96" s="99"/>
    </row>
    <row r="97" spans="1:18" ht="13.7" customHeight="1" x14ac:dyDescent="0.2">
      <c r="A97" s="336" t="s">
        <v>291</v>
      </c>
      <c r="B97" s="374">
        <v>1</v>
      </c>
      <c r="C97" s="374"/>
      <c r="D97" s="375">
        <v>0.5</v>
      </c>
      <c r="E97" s="379" t="s">
        <v>265</v>
      </c>
      <c r="F97" s="378">
        <v>10</v>
      </c>
      <c r="G97" s="376"/>
      <c r="H97" s="379"/>
      <c r="I97" s="378"/>
      <c r="J97" s="378"/>
      <c r="K97" s="379"/>
      <c r="L97" s="378"/>
      <c r="M97" s="376"/>
      <c r="N97" s="380">
        <f t="shared" si="5"/>
        <v>5</v>
      </c>
      <c r="O97" s="99"/>
      <c r="P97" s="99"/>
    </row>
    <row r="98" spans="1:18" ht="13.7" customHeight="1" x14ac:dyDescent="0.2">
      <c r="A98" s="389" t="s">
        <v>292</v>
      </c>
      <c r="B98" s="390">
        <v>25</v>
      </c>
      <c r="C98" s="390">
        <v>25</v>
      </c>
      <c r="D98" s="375">
        <v>6</v>
      </c>
      <c r="E98" s="379" t="s">
        <v>256</v>
      </c>
      <c r="F98" s="378">
        <v>14.3</v>
      </c>
      <c r="G98" s="376"/>
      <c r="H98" s="379" t="s">
        <v>293</v>
      </c>
      <c r="I98" s="378"/>
      <c r="J98" s="378">
        <v>4</v>
      </c>
      <c r="K98" s="379" t="s">
        <v>265</v>
      </c>
      <c r="L98" s="378"/>
      <c r="M98" s="376">
        <v>10</v>
      </c>
      <c r="N98" s="380">
        <f t="shared" si="5"/>
        <v>99.800000000000011</v>
      </c>
      <c r="O98" s="99"/>
      <c r="P98" s="99"/>
    </row>
    <row r="99" spans="1:18" ht="13.7" customHeight="1" x14ac:dyDescent="0.2">
      <c r="A99" s="389" t="s">
        <v>294</v>
      </c>
      <c r="B99" s="390">
        <v>20</v>
      </c>
      <c r="C99" s="390">
        <v>20</v>
      </c>
      <c r="D99" s="375">
        <v>10</v>
      </c>
      <c r="E99" s="379" t="s">
        <v>256</v>
      </c>
      <c r="F99" s="378">
        <v>14.3</v>
      </c>
      <c r="G99" s="376"/>
      <c r="H99" s="379" t="s">
        <v>295</v>
      </c>
      <c r="I99" s="378">
        <v>0.7</v>
      </c>
      <c r="J99" s="378">
        <v>1</v>
      </c>
      <c r="K99" s="379" t="s">
        <v>265</v>
      </c>
      <c r="L99" s="378"/>
      <c r="M99" s="376">
        <v>10</v>
      </c>
      <c r="N99" s="380">
        <f t="shared" si="5"/>
        <v>161</v>
      </c>
      <c r="O99" s="99"/>
      <c r="P99" s="99"/>
    </row>
    <row r="100" spans="1:18" ht="13.7" customHeight="1" x14ac:dyDescent="0.2">
      <c r="A100" s="389" t="s">
        <v>296</v>
      </c>
      <c r="B100" s="390">
        <v>20</v>
      </c>
      <c r="C100" s="390">
        <v>20</v>
      </c>
      <c r="D100" s="375">
        <v>2</v>
      </c>
      <c r="E100" s="379" t="s">
        <v>256</v>
      </c>
      <c r="F100" s="378">
        <v>14.3</v>
      </c>
      <c r="G100" s="376"/>
      <c r="H100" s="391" t="s">
        <v>284</v>
      </c>
      <c r="I100" s="378"/>
      <c r="J100" s="378">
        <v>1</v>
      </c>
      <c r="K100" s="379" t="s">
        <v>265</v>
      </c>
      <c r="L100" s="378"/>
      <c r="M100" s="376">
        <v>10</v>
      </c>
      <c r="N100" s="380">
        <f t="shared" si="5"/>
        <v>39.6</v>
      </c>
    </row>
    <row r="101" spans="1:18" ht="13.7" customHeight="1" x14ac:dyDescent="0.2">
      <c r="A101" s="336" t="s">
        <v>297</v>
      </c>
      <c r="B101" s="374">
        <v>70</v>
      </c>
      <c r="C101" s="374">
        <v>70</v>
      </c>
      <c r="D101" s="375">
        <v>2</v>
      </c>
      <c r="E101" s="379" t="s">
        <v>256</v>
      </c>
      <c r="F101" s="378">
        <v>14.3</v>
      </c>
      <c r="G101" s="376"/>
      <c r="H101" s="336" t="s">
        <v>284</v>
      </c>
      <c r="I101" s="378"/>
      <c r="J101" s="378">
        <v>1</v>
      </c>
      <c r="K101" s="379" t="s">
        <v>265</v>
      </c>
      <c r="L101" s="378"/>
      <c r="M101" s="376">
        <v>10</v>
      </c>
      <c r="N101" s="380">
        <f t="shared" si="5"/>
        <v>39.6</v>
      </c>
      <c r="R101" s="6"/>
    </row>
    <row r="102" spans="1:18" ht="13.7" customHeight="1" x14ac:dyDescent="0.2">
      <c r="A102" s="336" t="s">
        <v>298</v>
      </c>
      <c r="B102" s="374">
        <v>4</v>
      </c>
      <c r="C102" s="374"/>
      <c r="D102" s="375">
        <v>4</v>
      </c>
      <c r="E102" s="379" t="s">
        <v>256</v>
      </c>
      <c r="F102" s="378">
        <v>14.3</v>
      </c>
      <c r="G102" s="376"/>
      <c r="H102" s="379" t="s">
        <v>299</v>
      </c>
      <c r="I102" s="378"/>
      <c r="J102" s="378">
        <v>7</v>
      </c>
      <c r="K102" s="379" t="s">
        <v>300</v>
      </c>
      <c r="L102" s="378"/>
      <c r="M102" s="376">
        <v>0.3</v>
      </c>
      <c r="N102" s="380">
        <f t="shared" si="5"/>
        <v>64.5</v>
      </c>
    </row>
    <row r="103" spans="1:18" ht="13.7" customHeight="1" x14ac:dyDescent="0.2">
      <c r="A103" s="336"/>
      <c r="B103" s="374"/>
      <c r="C103" s="374"/>
      <c r="D103" s="375"/>
      <c r="E103" s="379"/>
      <c r="F103" s="378"/>
      <c r="G103" s="376"/>
      <c r="H103" s="379"/>
      <c r="I103" s="378"/>
      <c r="J103" s="378"/>
      <c r="K103" s="379"/>
      <c r="L103" s="378"/>
      <c r="M103" s="376"/>
      <c r="N103" s="380">
        <f t="shared" si="5"/>
        <v>0</v>
      </c>
    </row>
    <row r="104" spans="1:18" ht="13.7" customHeight="1" x14ac:dyDescent="0.2">
      <c r="A104" s="336"/>
      <c r="B104" s="374"/>
      <c r="C104" s="374"/>
      <c r="D104" s="375"/>
      <c r="E104" s="379"/>
      <c r="F104" s="378"/>
      <c r="G104" s="376"/>
      <c r="H104" s="379"/>
      <c r="I104" s="378"/>
      <c r="J104" s="378"/>
      <c r="K104" s="379"/>
      <c r="L104" s="378"/>
      <c r="M104" s="376"/>
      <c r="N104" s="380">
        <f t="shared" si="5"/>
        <v>0</v>
      </c>
    </row>
    <row r="105" spans="1:18" ht="13.7" customHeight="1" x14ac:dyDescent="0.2">
      <c r="A105" s="379"/>
      <c r="B105" s="374"/>
      <c r="C105" s="374"/>
      <c r="D105" s="375"/>
      <c r="E105" s="336"/>
      <c r="F105" s="378"/>
      <c r="G105" s="376"/>
      <c r="H105" s="336"/>
      <c r="I105" s="378"/>
      <c r="J105" s="378"/>
      <c r="K105" s="336"/>
      <c r="L105" s="378"/>
      <c r="M105" s="376"/>
      <c r="N105" s="380">
        <f t="shared" si="5"/>
        <v>0</v>
      </c>
    </row>
    <row r="106" spans="1:18" ht="13.7" customHeight="1" x14ac:dyDescent="0.2">
      <c r="A106" s="379"/>
      <c r="B106" s="374"/>
      <c r="C106" s="374"/>
      <c r="D106" s="375"/>
      <c r="E106" s="336"/>
      <c r="F106" s="378"/>
      <c r="G106" s="376"/>
      <c r="H106" s="336"/>
      <c r="I106" s="378"/>
      <c r="J106" s="378"/>
      <c r="K106" s="336"/>
      <c r="L106" s="378"/>
      <c r="M106" s="376"/>
      <c r="N106" s="380">
        <f t="shared" si="5"/>
        <v>0</v>
      </c>
    </row>
    <row r="107" spans="1:18" ht="13.7" customHeight="1" thickBot="1" x14ac:dyDescent="0.25">
      <c r="A107" s="381"/>
      <c r="B107" s="382"/>
      <c r="C107" s="382"/>
      <c r="D107" s="383"/>
      <c r="E107" s="384"/>
      <c r="F107" s="385"/>
      <c r="G107" s="386"/>
      <c r="H107" s="384"/>
      <c r="I107" s="385"/>
      <c r="J107" s="385"/>
      <c r="K107" s="384"/>
      <c r="L107" s="385"/>
      <c r="M107" s="386"/>
      <c r="N107" s="387">
        <f t="shared" si="5"/>
        <v>0</v>
      </c>
    </row>
    <row r="108" spans="1:18" ht="13.7" customHeight="1" thickBot="1" x14ac:dyDescent="0.25">
      <c r="A108" s="15" t="s">
        <v>24</v>
      </c>
      <c r="B108" s="16">
        <f>SUM(B95:B107)</f>
        <v>144</v>
      </c>
      <c r="C108" s="17">
        <f>SUM(C95:C107)</f>
        <v>135</v>
      </c>
      <c r="D108" s="18">
        <f>SUM(D95:D107)</f>
        <v>28.5</v>
      </c>
      <c r="E108" s="163"/>
      <c r="F108" s="165"/>
      <c r="G108" s="165"/>
      <c r="H108" s="19"/>
      <c r="I108" s="165"/>
      <c r="J108" s="165"/>
      <c r="K108" s="19" t="s">
        <v>25</v>
      </c>
      <c r="L108" s="165"/>
      <c r="M108" s="166"/>
      <c r="N108" s="167">
        <f>SUM(N95:N107)</f>
        <v>505.70000000000005</v>
      </c>
    </row>
    <row r="109" spans="1:18" ht="13.7" customHeight="1" x14ac:dyDescent="0.2">
      <c r="A109" s="392" t="s">
        <v>301</v>
      </c>
      <c r="B109" s="393">
        <v>60</v>
      </c>
      <c r="C109" s="393">
        <v>60</v>
      </c>
      <c r="D109" s="394">
        <v>2</v>
      </c>
      <c r="E109" s="359" t="s">
        <v>265</v>
      </c>
      <c r="F109" s="396">
        <v>10</v>
      </c>
      <c r="G109" s="397"/>
      <c r="H109" s="395"/>
      <c r="I109" s="396"/>
      <c r="J109" s="396"/>
      <c r="K109" s="395"/>
      <c r="L109" s="396"/>
      <c r="M109" s="397"/>
      <c r="N109" s="388">
        <f t="shared" ref="N109:N116" si="6">D109*(F109+I109+L109)+G109+J109+M109</f>
        <v>20</v>
      </c>
    </row>
    <row r="110" spans="1:18" ht="13.7" customHeight="1" x14ac:dyDescent="0.2">
      <c r="A110" s="336" t="s">
        <v>302</v>
      </c>
      <c r="B110" s="374">
        <v>2</v>
      </c>
      <c r="C110" s="374"/>
      <c r="D110" s="375">
        <v>2</v>
      </c>
      <c r="E110" s="379" t="s">
        <v>256</v>
      </c>
      <c r="F110" s="378">
        <v>14.3</v>
      </c>
      <c r="G110" s="376"/>
      <c r="H110" s="398" t="s">
        <v>257</v>
      </c>
      <c r="I110" s="403"/>
      <c r="J110" s="403">
        <v>0.8</v>
      </c>
      <c r="K110" s="336" t="s">
        <v>258</v>
      </c>
      <c r="L110" s="378"/>
      <c r="M110" s="376">
        <v>0.45</v>
      </c>
      <c r="N110" s="380">
        <f>D110*(F110+I110+L110)+G110+J110+M110</f>
        <v>29.85</v>
      </c>
    </row>
    <row r="111" spans="1:18" ht="13.7" customHeight="1" x14ac:dyDescent="0.2">
      <c r="A111" s="336" t="s">
        <v>304</v>
      </c>
      <c r="B111" s="374">
        <v>6</v>
      </c>
      <c r="C111" s="374"/>
      <c r="D111" s="375">
        <v>6</v>
      </c>
      <c r="E111" s="379" t="s">
        <v>256</v>
      </c>
      <c r="F111" s="378">
        <v>14.3</v>
      </c>
      <c r="G111" s="376"/>
      <c r="H111" s="336" t="s">
        <v>262</v>
      </c>
      <c r="I111" s="378"/>
      <c r="J111" s="376">
        <v>2.4</v>
      </c>
      <c r="K111" s="336"/>
      <c r="L111" s="378"/>
      <c r="M111" s="376"/>
      <c r="N111" s="380">
        <f>D111*(F111+I111+L111)+G111+J111*3+M111</f>
        <v>93.000000000000014</v>
      </c>
    </row>
    <row r="112" spans="1:18" ht="13.7" customHeight="1" x14ac:dyDescent="0.2">
      <c r="A112" s="336" t="s">
        <v>303</v>
      </c>
      <c r="B112" s="374">
        <v>2</v>
      </c>
      <c r="C112" s="374"/>
      <c r="D112" s="375">
        <v>2</v>
      </c>
      <c r="E112" s="379" t="s">
        <v>256</v>
      </c>
      <c r="F112" s="378">
        <v>14.3</v>
      </c>
      <c r="G112" s="376"/>
      <c r="H112" s="399" t="s">
        <v>260</v>
      </c>
      <c r="I112" s="396"/>
      <c r="J112" s="396">
        <v>1.5</v>
      </c>
      <c r="K112" s="336"/>
      <c r="L112" s="378"/>
      <c r="M112" s="376"/>
      <c r="N112" s="380">
        <f t="shared" si="6"/>
        <v>30.1</v>
      </c>
    </row>
    <row r="113" spans="1:14" ht="13.7" customHeight="1" x14ac:dyDescent="0.2">
      <c r="A113" s="336"/>
      <c r="B113" s="374"/>
      <c r="C113" s="374"/>
      <c r="D113" s="375"/>
      <c r="E113" s="379"/>
      <c r="F113" s="378"/>
      <c r="G113" s="376"/>
      <c r="H113" s="381"/>
      <c r="I113" s="378"/>
      <c r="J113" s="378"/>
      <c r="K113" s="336"/>
      <c r="L113" s="378"/>
      <c r="M113" s="376"/>
      <c r="N113" s="380">
        <f t="shared" si="6"/>
        <v>0</v>
      </c>
    </row>
    <row r="114" spans="1:14" ht="13.7" customHeight="1" x14ac:dyDescent="0.2">
      <c r="A114" s="336"/>
      <c r="B114" s="374"/>
      <c r="C114" s="374"/>
      <c r="D114" s="375"/>
      <c r="E114" s="379"/>
      <c r="F114" s="378"/>
      <c r="G114" s="376"/>
      <c r="H114" s="400"/>
      <c r="I114" s="378"/>
      <c r="J114" s="378"/>
      <c r="K114" s="336"/>
      <c r="L114" s="378"/>
      <c r="M114" s="376"/>
      <c r="N114" s="380">
        <f t="shared" si="6"/>
        <v>0</v>
      </c>
    </row>
    <row r="115" spans="1:14" ht="13.7" customHeight="1" x14ac:dyDescent="0.2">
      <c r="A115" s="336"/>
      <c r="B115" s="374"/>
      <c r="C115" s="374"/>
      <c r="D115" s="375"/>
      <c r="E115" s="379"/>
      <c r="F115" s="378"/>
      <c r="G115" s="376"/>
      <c r="H115" s="402"/>
      <c r="I115" s="403"/>
      <c r="J115" s="403"/>
      <c r="K115" s="402"/>
      <c r="L115" s="403"/>
      <c r="M115" s="401"/>
      <c r="N115" s="404">
        <f t="shared" si="6"/>
        <v>0</v>
      </c>
    </row>
    <row r="116" spans="1:14" ht="13.7" customHeight="1" x14ac:dyDescent="0.2">
      <c r="A116" s="381"/>
      <c r="B116" s="405"/>
      <c r="C116" s="405"/>
      <c r="D116" s="406"/>
      <c r="E116" s="402"/>
      <c r="F116" s="403"/>
      <c r="G116" s="401"/>
      <c r="H116" s="402"/>
      <c r="I116" s="403"/>
      <c r="J116" s="403"/>
      <c r="K116" s="402"/>
      <c r="L116" s="403"/>
      <c r="M116" s="401"/>
      <c r="N116" s="404">
        <f t="shared" si="6"/>
        <v>0</v>
      </c>
    </row>
    <row r="117" spans="1:14" ht="13.7" customHeight="1" thickBot="1" x14ac:dyDescent="0.25">
      <c r="A117" s="20" t="s">
        <v>28</v>
      </c>
      <c r="B117" s="21">
        <f>SUM(B109:B116)</f>
        <v>70</v>
      </c>
      <c r="C117" s="21">
        <f>SUM(C109:C116)</f>
        <v>60</v>
      </c>
      <c r="D117" s="21">
        <f>SUM(D109:D116)</f>
        <v>12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8">
        <f>SUM(N109:N115)</f>
        <v>172.95000000000002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71" t="s">
        <v>179</v>
      </c>
    </row>
    <row r="3" spans="1:15" ht="15.75" x14ac:dyDescent="0.3">
      <c r="A3" s="471" t="s">
        <v>217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Rote Johannisbeeren, Rovada, 3-Ast-Hecke, Bodenkultur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>
        <f>'Deckungsbeitrag Arbeitsgänge'!B7</f>
        <v>0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1440</v>
      </c>
      <c r="C10" s="420"/>
      <c r="D10" s="421"/>
      <c r="E10" s="422"/>
      <c r="F10" s="423"/>
      <c r="G10" s="423"/>
      <c r="H10" s="422"/>
      <c r="I10" s="423">
        <v>1440</v>
      </c>
      <c r="J10" s="423"/>
      <c r="K10" s="422"/>
      <c r="L10" s="423"/>
      <c r="M10" s="423"/>
      <c r="N10" s="424"/>
      <c r="O10" s="63">
        <f>SUM(C10:N10)</f>
        <v>1440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50</v>
      </c>
      <c r="C11" s="408"/>
      <c r="D11" s="347"/>
      <c r="E11" s="409"/>
      <c r="F11" s="410"/>
      <c r="G11" s="410"/>
      <c r="H11" s="409"/>
      <c r="I11" s="410">
        <v>50</v>
      </c>
      <c r="J11" s="410"/>
      <c r="K11" s="409"/>
      <c r="L11" s="410"/>
      <c r="M11" s="410"/>
      <c r="N11" s="411"/>
      <c r="O11" s="69">
        <f t="shared" ref="O11:O38" si="0">SUM(C11:N11)</f>
        <v>50</v>
      </c>
    </row>
    <row r="12" spans="1:15" s="6" customFormat="1" ht="13.7" customHeight="1" x14ac:dyDescent="0.2">
      <c r="A12" s="57" t="str">
        <f>'Deckungsbeitrag Arbeitsgänge'!A12</f>
        <v>Herbizid 3 x</v>
      </c>
      <c r="B12" s="57">
        <f>'Deckungsbeitrag Arbeitsgänge'!B12</f>
        <v>6</v>
      </c>
      <c r="C12" s="408"/>
      <c r="D12" s="347"/>
      <c r="E12" s="412">
        <v>2</v>
      </c>
      <c r="F12" s="410">
        <v>2</v>
      </c>
      <c r="G12" s="410"/>
      <c r="H12" s="412"/>
      <c r="I12" s="410"/>
      <c r="J12" s="410"/>
      <c r="K12" s="409">
        <v>2</v>
      </c>
      <c r="L12" s="410"/>
      <c r="M12" s="410"/>
      <c r="N12" s="411"/>
      <c r="O12" s="69">
        <f t="shared" si="0"/>
        <v>6</v>
      </c>
    </row>
    <row r="13" spans="1:15" s="6" customFormat="1" ht="13.7" customHeight="1" x14ac:dyDescent="0.2">
      <c r="A13" s="57" t="str">
        <f>'Deckungsbeitrag Arbeitsgänge'!A13</f>
        <v>Mineraldüngung 1 x</v>
      </c>
      <c r="B13" s="57">
        <f>'Deckungsbeitrag Arbeitsgänge'!B13</f>
        <v>2</v>
      </c>
      <c r="C13" s="408"/>
      <c r="D13" s="347"/>
      <c r="E13" s="409">
        <v>2</v>
      </c>
      <c r="F13" s="410"/>
      <c r="G13" s="410"/>
      <c r="H13" s="412"/>
      <c r="I13" s="410"/>
      <c r="J13" s="410"/>
      <c r="K13" s="409"/>
      <c r="L13" s="410"/>
      <c r="M13" s="410"/>
      <c r="N13" s="411"/>
      <c r="O13" s="69">
        <f t="shared" si="0"/>
        <v>2</v>
      </c>
    </row>
    <row r="14" spans="1:15" s="6" customFormat="1" ht="13.7" customHeight="1" x14ac:dyDescent="0.2">
      <c r="A14" s="57" t="str">
        <f>'Deckungsbeitrag Arbeitsgänge'!A14</f>
        <v>Pflanzenschutz 7 x</v>
      </c>
      <c r="B14" s="57">
        <f>'Deckungsbeitrag Arbeitsgänge'!B14</f>
        <v>14</v>
      </c>
      <c r="C14" s="408"/>
      <c r="D14" s="347"/>
      <c r="E14" s="409"/>
      <c r="F14" s="410">
        <v>4</v>
      </c>
      <c r="G14" s="410">
        <v>4</v>
      </c>
      <c r="H14" s="409">
        <v>2</v>
      </c>
      <c r="I14" s="410"/>
      <c r="J14" s="410">
        <v>2</v>
      </c>
      <c r="K14" s="409">
        <v>2</v>
      </c>
      <c r="L14" s="410"/>
      <c r="M14" s="410"/>
      <c r="N14" s="411"/>
      <c r="O14" s="69">
        <f t="shared" si="0"/>
        <v>14</v>
      </c>
    </row>
    <row r="15" spans="1:15" s="6" customFormat="1" ht="13.7" customHeight="1" x14ac:dyDescent="0.2">
      <c r="A15" s="57" t="str">
        <f>'Deckungsbeitrag Arbeitsgänge'!A15</f>
        <v>Mulchen 5 x</v>
      </c>
      <c r="B15" s="57">
        <f>'Deckungsbeitrag Arbeitsgänge'!B15</f>
        <v>10</v>
      </c>
      <c r="C15" s="408"/>
      <c r="D15" s="347"/>
      <c r="E15" s="425"/>
      <c r="F15" s="410">
        <v>2</v>
      </c>
      <c r="G15" s="410">
        <v>2</v>
      </c>
      <c r="H15" s="409">
        <v>2</v>
      </c>
      <c r="I15" s="410">
        <v>2</v>
      </c>
      <c r="J15" s="410">
        <v>2</v>
      </c>
      <c r="K15" s="409"/>
      <c r="L15" s="410"/>
      <c r="M15" s="410"/>
      <c r="N15" s="411"/>
      <c r="O15" s="69">
        <f t="shared" si="0"/>
        <v>10</v>
      </c>
    </row>
    <row r="16" spans="1:15" s="6" customFormat="1" ht="13.7" customHeight="1" x14ac:dyDescent="0.2">
      <c r="A16" s="57" t="str">
        <f>'Deckungsbeitrag Arbeitsgänge'!A16</f>
        <v>Bewässerung</v>
      </c>
      <c r="B16" s="57">
        <f>'Deckungsbeitrag Arbeitsgänge'!B16</f>
        <v>5</v>
      </c>
      <c r="C16" s="408"/>
      <c r="D16" s="347"/>
      <c r="E16" s="409">
        <v>1</v>
      </c>
      <c r="F16" s="410">
        <v>1</v>
      </c>
      <c r="G16" s="410">
        <v>1</v>
      </c>
      <c r="H16" s="409">
        <v>1</v>
      </c>
      <c r="I16" s="410">
        <v>1</v>
      </c>
      <c r="J16" s="410"/>
      <c r="K16" s="409"/>
      <c r="L16" s="410"/>
      <c r="M16" s="410"/>
      <c r="N16" s="411"/>
      <c r="O16" s="69">
        <f t="shared" si="0"/>
        <v>5</v>
      </c>
    </row>
    <row r="17" spans="1:15" s="6" customFormat="1" ht="13.7" customHeight="1" x14ac:dyDescent="0.2">
      <c r="A17" s="57" t="str">
        <f>'Deckungsbeitrag Arbeitsgänge'!A17</f>
        <v>Kontrolle</v>
      </c>
      <c r="B17" s="57">
        <f>'Deckungsbeitrag Arbeitsgänge'!B17</f>
        <v>10</v>
      </c>
      <c r="C17" s="408"/>
      <c r="D17" s="347"/>
      <c r="E17" s="409">
        <v>1</v>
      </c>
      <c r="F17" s="410">
        <v>2</v>
      </c>
      <c r="G17" s="410">
        <v>2</v>
      </c>
      <c r="H17" s="409">
        <v>2</v>
      </c>
      <c r="I17" s="410">
        <v>1</v>
      </c>
      <c r="J17" s="410">
        <v>2</v>
      </c>
      <c r="K17" s="409"/>
      <c r="L17" s="410"/>
      <c r="M17" s="410"/>
      <c r="N17" s="411"/>
      <c r="O17" s="69">
        <f t="shared" si="0"/>
        <v>10</v>
      </c>
    </row>
    <row r="18" spans="1:15" s="6" customFormat="1" ht="13.7" customHeight="1" x14ac:dyDescent="0.2">
      <c r="A18" s="57" t="str">
        <f>'Deckungsbeitrag Arbeitsgänge'!A18</f>
        <v>Kompost 60 m³ alle 3 J.</v>
      </c>
      <c r="B18" s="57">
        <f>'Deckungsbeitrag Arbeitsgänge'!B18</f>
        <v>15</v>
      </c>
      <c r="C18" s="408"/>
      <c r="D18" s="347"/>
      <c r="E18" s="409">
        <v>15</v>
      </c>
      <c r="F18" s="410"/>
      <c r="G18" s="410"/>
      <c r="H18" s="414"/>
      <c r="I18" s="410"/>
      <c r="J18" s="410"/>
      <c r="K18" s="414"/>
      <c r="L18" s="410"/>
      <c r="M18" s="410"/>
      <c r="N18" s="411"/>
      <c r="O18" s="69">
        <f t="shared" si="0"/>
        <v>15</v>
      </c>
    </row>
    <row r="19" spans="1:15" s="6" customFormat="1" ht="13.7" customHeight="1" x14ac:dyDescent="0.2">
      <c r="A19" s="57" t="str">
        <f>'Deckungsbeitrag Arbeitsgänge'!A19</f>
        <v>Schnitt</v>
      </c>
      <c r="B19" s="57">
        <f>'Deckungsbeitrag Arbeitsgänge'!B19</f>
        <v>200</v>
      </c>
      <c r="C19" s="408">
        <v>100</v>
      </c>
      <c r="D19" s="347">
        <v>100</v>
      </c>
      <c r="E19" s="409"/>
      <c r="F19" s="410"/>
      <c r="G19" s="410"/>
      <c r="H19" s="409"/>
      <c r="I19" s="410"/>
      <c r="J19" s="410"/>
      <c r="K19" s="414"/>
      <c r="L19" s="410"/>
      <c r="M19" s="410"/>
      <c r="N19" s="411"/>
      <c r="O19" s="69">
        <f t="shared" si="0"/>
        <v>200</v>
      </c>
    </row>
    <row r="20" spans="1:15" s="6" customFormat="1" ht="13.7" customHeight="1" x14ac:dyDescent="0.2">
      <c r="A20" s="57" t="str">
        <f>'Deckungsbeitrag Arbeitsgänge'!A20</f>
        <v>Häckseln der Ruten</v>
      </c>
      <c r="B20" s="57">
        <f>'Deckungsbeitrag Arbeitsgänge'!B20</f>
        <v>2</v>
      </c>
      <c r="C20" s="408"/>
      <c r="D20" s="347"/>
      <c r="E20" s="409">
        <v>2</v>
      </c>
      <c r="F20" s="410"/>
      <c r="G20" s="410"/>
      <c r="H20" s="409"/>
      <c r="I20" s="410"/>
      <c r="J20" s="410"/>
      <c r="K20" s="409"/>
      <c r="L20" s="410"/>
      <c r="M20" s="410"/>
      <c r="N20" s="411"/>
      <c r="O20" s="69">
        <f t="shared" si="0"/>
        <v>2</v>
      </c>
    </row>
    <row r="21" spans="1:15" s="6" customFormat="1" ht="13.7" customHeight="1" x14ac:dyDescent="0.2">
      <c r="A21" s="57" t="str">
        <f>'Deckungsbeitrag Arbeitsgänge'!A21</f>
        <v>Neuruten anheften</v>
      </c>
      <c r="B21" s="57">
        <f>'Deckungsbeitrag Arbeitsgänge'!B21</f>
        <v>50</v>
      </c>
      <c r="C21" s="408"/>
      <c r="D21" s="347"/>
      <c r="E21" s="409">
        <v>50</v>
      </c>
      <c r="F21" s="410"/>
      <c r="G21" s="410"/>
      <c r="H21" s="409"/>
      <c r="I21" s="410"/>
      <c r="J21" s="410"/>
      <c r="K21" s="409"/>
      <c r="L21" s="410"/>
      <c r="M21" s="410"/>
      <c r="N21" s="411"/>
      <c r="O21" s="69">
        <f t="shared" si="0"/>
        <v>50</v>
      </c>
    </row>
    <row r="22" spans="1:15" s="6" customFormat="1" ht="13.7" customHeight="1" x14ac:dyDescent="0.2">
      <c r="A22" s="57" t="str">
        <f>'Deckungsbeitrag Arbeitsgänge'!A22</f>
        <v>Aufputzen, abstreifen</v>
      </c>
      <c r="B22" s="57">
        <f>'Deckungsbeitrag Arbeitsgänge'!B22</f>
        <v>20</v>
      </c>
      <c r="C22" s="408"/>
      <c r="D22" s="347"/>
      <c r="E22" s="409"/>
      <c r="F22" s="410">
        <v>20</v>
      </c>
      <c r="G22" s="410"/>
      <c r="H22" s="409"/>
      <c r="I22" s="410"/>
      <c r="J22" s="410"/>
      <c r="K22" s="409"/>
      <c r="L22" s="410"/>
      <c r="M22" s="410"/>
      <c r="N22" s="411"/>
      <c r="O22" s="69">
        <f t="shared" si="0"/>
        <v>20</v>
      </c>
    </row>
    <row r="23" spans="1:15" s="6" customFormat="1" ht="13.7" customHeight="1" x14ac:dyDescent="0.25">
      <c r="A23" s="57">
        <f>'Deckungsbeitrag Arbeitsgänge'!A23</f>
        <v>0</v>
      </c>
      <c r="B23" s="57">
        <f>'Deckungsbeitrag Arbeitsgänge'!B23</f>
        <v>0</v>
      </c>
      <c r="C23" s="408"/>
      <c r="D23" s="347"/>
      <c r="E23" s="409"/>
      <c r="F23" s="410"/>
      <c r="G23" s="410"/>
      <c r="H23" s="409"/>
      <c r="I23" s="410"/>
      <c r="J23" s="410"/>
      <c r="K23" s="409"/>
      <c r="L23" s="410"/>
      <c r="M23" s="410"/>
      <c r="N23" s="411"/>
      <c r="O23" s="69">
        <f t="shared" si="0"/>
        <v>0</v>
      </c>
    </row>
    <row r="24" spans="1:15" s="6" customFormat="1" ht="13.7" customHeight="1" x14ac:dyDescent="0.25">
      <c r="A24" s="57">
        <f>'Deckungsbeitrag Arbeitsgänge'!A24</f>
        <v>0</v>
      </c>
      <c r="B24" s="57">
        <f>'Deckungsbeitrag Arbeitsgänge'!B24</f>
        <v>0</v>
      </c>
      <c r="C24" s="408"/>
      <c r="D24" s="347"/>
      <c r="E24" s="409"/>
      <c r="F24" s="410"/>
      <c r="G24" s="410"/>
      <c r="H24" s="409"/>
      <c r="I24" s="410"/>
      <c r="J24" s="410"/>
      <c r="K24" s="409"/>
      <c r="L24" s="410"/>
      <c r="M24" s="410"/>
      <c r="N24" s="411"/>
      <c r="O24" s="69">
        <f t="shared" si="0"/>
        <v>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08"/>
      <c r="D25" s="347"/>
      <c r="E25" s="409"/>
      <c r="F25" s="410"/>
      <c r="G25" s="410"/>
      <c r="H25" s="409"/>
      <c r="I25" s="410"/>
      <c r="J25" s="410"/>
      <c r="K25" s="409"/>
      <c r="L25" s="410"/>
      <c r="M25" s="410"/>
      <c r="N25" s="411"/>
      <c r="O25" s="69">
        <f t="shared" si="0"/>
        <v>0</v>
      </c>
    </row>
    <row r="26" spans="1:15" s="6" customFormat="1" ht="13.7" customHeight="1" x14ac:dyDescent="0.25">
      <c r="A26" s="57">
        <f>'Deckungsbeitrag Arbeitsgänge'!A26</f>
        <v>0</v>
      </c>
      <c r="B26" s="57">
        <f>'Deckungsbeitrag Arbeitsgänge'!B26</f>
        <v>0</v>
      </c>
      <c r="C26" s="408"/>
      <c r="D26" s="347"/>
      <c r="E26" s="409"/>
      <c r="F26" s="410"/>
      <c r="G26" s="410"/>
      <c r="H26" s="409"/>
      <c r="I26" s="410"/>
      <c r="J26" s="410"/>
      <c r="K26" s="409"/>
      <c r="L26" s="410"/>
      <c r="M26" s="410"/>
      <c r="N26" s="411"/>
      <c r="O26" s="69">
        <f t="shared" si="0"/>
        <v>0</v>
      </c>
    </row>
    <row r="27" spans="1:15" s="6" customFormat="1" ht="13.7" customHeight="1" x14ac:dyDescent="0.25">
      <c r="A27" s="57">
        <f>'Deckungsbeitrag Arbeitsgänge'!A27</f>
        <v>0</v>
      </c>
      <c r="B27" s="57">
        <f>'Deckungsbeitrag Arbeitsgänge'!B27</f>
        <v>0</v>
      </c>
      <c r="C27" s="408"/>
      <c r="D27" s="347"/>
      <c r="E27" s="409"/>
      <c r="F27" s="410"/>
      <c r="G27" s="410"/>
      <c r="H27" s="409"/>
      <c r="I27" s="410"/>
      <c r="J27" s="410"/>
      <c r="K27" s="409"/>
      <c r="L27" s="410"/>
      <c r="M27" s="410"/>
      <c r="N27" s="411"/>
      <c r="O27" s="69">
        <f t="shared" si="0"/>
        <v>0</v>
      </c>
    </row>
    <row r="28" spans="1:15" s="6" customFormat="1" ht="13.7" customHeight="1" x14ac:dyDescent="0.25">
      <c r="A28" s="57">
        <f>'Deckungsbeitrag Arbeitsgänge'!A28</f>
        <v>0</v>
      </c>
      <c r="B28" s="57">
        <f>'Deckungsbeitrag Arbeitsgänge'!B28</f>
        <v>0</v>
      </c>
      <c r="C28" s="408"/>
      <c r="D28" s="347"/>
      <c r="E28" s="409"/>
      <c r="F28" s="410"/>
      <c r="G28" s="410"/>
      <c r="H28" s="409"/>
      <c r="I28" s="410"/>
      <c r="J28" s="410"/>
      <c r="K28" s="409"/>
      <c r="L28" s="410"/>
      <c r="M28" s="410"/>
      <c r="N28" s="411"/>
      <c r="O28" s="69">
        <f t="shared" si="0"/>
        <v>0</v>
      </c>
    </row>
    <row r="29" spans="1:15" s="6" customFormat="1" ht="13.7" customHeight="1" x14ac:dyDescent="0.25">
      <c r="A29" s="57">
        <f>'Deckungsbeitrag Arbeitsgänge'!A29</f>
        <v>0</v>
      </c>
      <c r="B29" s="57">
        <f>'Deckungsbeitrag Arbeitsgänge'!B29</f>
        <v>0</v>
      </c>
      <c r="C29" s="408"/>
      <c r="D29" s="347"/>
      <c r="E29" s="409"/>
      <c r="F29" s="410"/>
      <c r="G29" s="410"/>
      <c r="H29" s="409"/>
      <c r="I29" s="410"/>
      <c r="J29" s="410"/>
      <c r="K29" s="409"/>
      <c r="L29" s="410"/>
      <c r="M29" s="410"/>
      <c r="N29" s="411"/>
      <c r="O29" s="69">
        <f t="shared" si="0"/>
        <v>0</v>
      </c>
    </row>
    <row r="30" spans="1:15" s="6" customFormat="1" ht="13.7" customHeight="1" x14ac:dyDescent="0.25">
      <c r="A30" s="57">
        <f>'Deckungsbeitrag Arbeitsgänge'!A30</f>
        <v>0</v>
      </c>
      <c r="B30" s="57">
        <f>'Deckungsbeitrag Arbeitsgänge'!B30</f>
        <v>0</v>
      </c>
      <c r="C30" s="408"/>
      <c r="D30" s="347"/>
      <c r="E30" s="409"/>
      <c r="F30" s="410"/>
      <c r="G30" s="410"/>
      <c r="H30" s="409"/>
      <c r="I30" s="410"/>
      <c r="J30" s="410"/>
      <c r="K30" s="409"/>
      <c r="L30" s="410"/>
      <c r="M30" s="410"/>
      <c r="N30" s="411"/>
      <c r="O30" s="69">
        <f t="shared" si="0"/>
        <v>0</v>
      </c>
    </row>
    <row r="31" spans="1:15" s="6" customFormat="1" ht="13.7" customHeight="1" x14ac:dyDescent="0.25">
      <c r="A31" s="57">
        <f>'Deckungsbeitrag Arbeitsgänge'!A31</f>
        <v>0</v>
      </c>
      <c r="B31" s="57">
        <f>'Deckungsbeitrag Arbeitsgänge'!B31</f>
        <v>0</v>
      </c>
      <c r="C31" s="408"/>
      <c r="D31" s="347"/>
      <c r="E31" s="409"/>
      <c r="F31" s="410"/>
      <c r="G31" s="410"/>
      <c r="H31" s="409"/>
      <c r="I31" s="410"/>
      <c r="J31" s="410"/>
      <c r="K31" s="409"/>
      <c r="L31" s="410"/>
      <c r="M31" s="410"/>
      <c r="N31" s="411"/>
      <c r="O31" s="69">
        <f t="shared" si="0"/>
        <v>0</v>
      </c>
    </row>
    <row r="32" spans="1:15" s="6" customFormat="1" ht="13.7" customHeight="1" x14ac:dyDescent="0.25">
      <c r="A32" s="57">
        <f>'Deckungsbeitrag Arbeitsgänge'!A32</f>
        <v>0</v>
      </c>
      <c r="B32" s="57">
        <f>'Deckungsbeitrag Arbeitsgänge'!B32</f>
        <v>0</v>
      </c>
      <c r="C32" s="408"/>
      <c r="D32" s="347"/>
      <c r="E32" s="409"/>
      <c r="F32" s="410"/>
      <c r="G32" s="410"/>
      <c r="H32" s="409"/>
      <c r="I32" s="410"/>
      <c r="J32" s="410"/>
      <c r="K32" s="409"/>
      <c r="L32" s="410"/>
      <c r="M32" s="410"/>
      <c r="N32" s="411"/>
      <c r="O32" s="69">
        <f t="shared" si="0"/>
        <v>0</v>
      </c>
    </row>
    <row r="33" spans="1:15" s="6" customFormat="1" ht="13.7" customHeight="1" x14ac:dyDescent="0.25">
      <c r="A33" s="57">
        <f>'Deckungsbeitrag Arbeitsgänge'!A33</f>
        <v>0</v>
      </c>
      <c r="B33" s="57">
        <f>'Deckungsbeitrag Arbeitsgänge'!B33</f>
        <v>0</v>
      </c>
      <c r="C33" s="408"/>
      <c r="D33" s="347"/>
      <c r="E33" s="409"/>
      <c r="F33" s="410"/>
      <c r="G33" s="410"/>
      <c r="H33" s="409"/>
      <c r="I33" s="410"/>
      <c r="J33" s="410"/>
      <c r="K33" s="409"/>
      <c r="L33" s="410"/>
      <c r="M33" s="410"/>
      <c r="N33" s="411"/>
      <c r="O33" s="69">
        <f t="shared" si="0"/>
        <v>0</v>
      </c>
    </row>
    <row r="34" spans="1:15" s="6" customFormat="1" ht="13.7" customHeight="1" x14ac:dyDescent="0.25">
      <c r="A34" s="57">
        <f>'Deckungsbeitrag Arbeitsgänge'!A34</f>
        <v>0</v>
      </c>
      <c r="B34" s="57">
        <f>'Deckungsbeitrag Arbeitsgänge'!B34</f>
        <v>0</v>
      </c>
      <c r="C34" s="408"/>
      <c r="D34" s="347"/>
      <c r="E34" s="409"/>
      <c r="F34" s="410"/>
      <c r="G34" s="410"/>
      <c r="H34" s="409"/>
      <c r="I34" s="410"/>
      <c r="J34" s="410"/>
      <c r="K34" s="409"/>
      <c r="L34" s="410"/>
      <c r="M34" s="410"/>
      <c r="N34" s="411"/>
      <c r="O34" s="69">
        <f t="shared" si="0"/>
        <v>0</v>
      </c>
    </row>
    <row r="35" spans="1:15" s="6" customFormat="1" ht="13.7" customHeight="1" x14ac:dyDescent="0.25">
      <c r="A35" s="57">
        <f>'Deckungsbeitrag Arbeitsgänge'!A35</f>
        <v>0</v>
      </c>
      <c r="B35" s="57">
        <f>'Deckungsbeitrag Arbeitsgänge'!B35</f>
        <v>0</v>
      </c>
      <c r="C35" s="408"/>
      <c r="D35" s="347"/>
      <c r="E35" s="409"/>
      <c r="F35" s="410"/>
      <c r="G35" s="410"/>
      <c r="H35" s="409"/>
      <c r="I35" s="410"/>
      <c r="J35" s="410"/>
      <c r="K35" s="409"/>
      <c r="L35" s="410"/>
      <c r="M35" s="410"/>
      <c r="N35" s="411"/>
      <c r="O35" s="69">
        <f t="shared" si="0"/>
        <v>0</v>
      </c>
    </row>
    <row r="36" spans="1:15" s="6" customFormat="1" ht="13.7" customHeight="1" x14ac:dyDescent="0.25">
      <c r="A36" s="57">
        <f>'Deckungsbeitrag Arbeitsgänge'!A36</f>
        <v>0</v>
      </c>
      <c r="B36" s="57">
        <f>'Deckungsbeitrag Arbeitsgänge'!B36</f>
        <v>0</v>
      </c>
      <c r="C36" s="408"/>
      <c r="D36" s="347"/>
      <c r="E36" s="409"/>
      <c r="F36" s="410"/>
      <c r="G36" s="410"/>
      <c r="H36" s="409"/>
      <c r="I36" s="410"/>
      <c r="J36" s="410"/>
      <c r="K36" s="409"/>
      <c r="L36" s="410"/>
      <c r="M36" s="410"/>
      <c r="N36" s="411"/>
      <c r="O36" s="69">
        <f t="shared" si="0"/>
        <v>0</v>
      </c>
    </row>
    <row r="37" spans="1:15" s="6" customFormat="1" ht="13.7" customHeight="1" x14ac:dyDescent="0.25">
      <c r="A37" s="57">
        <f>'Deckungsbeitrag Arbeitsgänge'!A37</f>
        <v>0</v>
      </c>
      <c r="B37" s="57">
        <f>'Deckungsbeitrag Arbeitsgänge'!B37</f>
        <v>0</v>
      </c>
      <c r="C37" s="408"/>
      <c r="D37" s="347"/>
      <c r="E37" s="409"/>
      <c r="F37" s="410"/>
      <c r="G37" s="410"/>
      <c r="H37" s="409"/>
      <c r="I37" s="410"/>
      <c r="J37" s="410"/>
      <c r="K37" s="409"/>
      <c r="L37" s="410"/>
      <c r="M37" s="410"/>
      <c r="N37" s="411"/>
      <c r="O37" s="69">
        <f t="shared" si="0"/>
        <v>0</v>
      </c>
    </row>
    <row r="38" spans="1:15" s="6" customFormat="1" ht="13.7" customHeight="1" thickBot="1" x14ac:dyDescent="0.3">
      <c r="A38" s="57">
        <f>'Deckungsbeitrag Arbeitsgänge'!A38</f>
        <v>0</v>
      </c>
      <c r="B38" s="57">
        <f>'Deckungsbeitrag Arbeitsgänge'!B38</f>
        <v>0</v>
      </c>
      <c r="C38" s="426"/>
      <c r="D38" s="427"/>
      <c r="E38" s="428"/>
      <c r="F38" s="429"/>
      <c r="G38" s="429"/>
      <c r="H38" s="428"/>
      <c r="I38" s="429"/>
      <c r="J38" s="429"/>
      <c r="K38" s="428"/>
      <c r="L38" s="429"/>
      <c r="M38" s="429"/>
      <c r="N38" s="430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1824</v>
      </c>
      <c r="C39" s="23">
        <f>SUM(C10:C38)</f>
        <v>100</v>
      </c>
      <c r="D39" s="23">
        <f t="shared" ref="D39:N39" si="1">SUM(D10:D38)</f>
        <v>100</v>
      </c>
      <c r="E39" s="72">
        <f t="shared" si="1"/>
        <v>73</v>
      </c>
      <c r="F39" s="73">
        <f t="shared" si="1"/>
        <v>31</v>
      </c>
      <c r="G39" s="74">
        <f t="shared" si="1"/>
        <v>9</v>
      </c>
      <c r="H39" s="72">
        <f t="shared" si="1"/>
        <v>7</v>
      </c>
      <c r="I39" s="73">
        <f t="shared" si="1"/>
        <v>1494</v>
      </c>
      <c r="J39" s="74">
        <f t="shared" si="1"/>
        <v>6</v>
      </c>
      <c r="K39" s="72">
        <f t="shared" si="1"/>
        <v>4</v>
      </c>
      <c r="L39" s="73">
        <f t="shared" si="1"/>
        <v>0</v>
      </c>
      <c r="M39" s="74">
        <f t="shared" si="1"/>
        <v>0</v>
      </c>
      <c r="N39" s="75">
        <f t="shared" si="1"/>
        <v>0</v>
      </c>
      <c r="O39" s="64">
        <f>SUM(C39:N39)</f>
        <v>1824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71" t="s">
        <v>179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71" t="s">
        <v>217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Rote Johannisbeeren, Rovada, 3-Ast-Hecke, Bodenkultur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>
        <f>'Deckungsbeitrag Arbeitsgänge'!B48</f>
        <v>0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937.5</v>
      </c>
      <c r="C50" s="420"/>
      <c r="D50" s="421"/>
      <c r="E50" s="422"/>
      <c r="F50" s="423"/>
      <c r="G50" s="423"/>
      <c r="H50" s="422"/>
      <c r="I50" s="423">
        <v>938</v>
      </c>
      <c r="J50" s="423"/>
      <c r="K50" s="422"/>
      <c r="L50" s="423"/>
      <c r="M50" s="423"/>
      <c r="N50" s="424"/>
      <c r="O50" s="63">
        <f>SUM(C50:N50)</f>
        <v>938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20</v>
      </c>
      <c r="C51" s="408"/>
      <c r="D51" s="347"/>
      <c r="E51" s="409"/>
      <c r="F51" s="410"/>
      <c r="G51" s="410"/>
      <c r="H51" s="409"/>
      <c r="I51" s="410">
        <v>20</v>
      </c>
      <c r="J51" s="410"/>
      <c r="K51" s="409"/>
      <c r="L51" s="410"/>
      <c r="M51" s="410"/>
      <c r="N51" s="411"/>
      <c r="O51" s="69">
        <f t="shared" ref="O51:O75" si="2">SUM(C51:N51)</f>
        <v>20</v>
      </c>
    </row>
    <row r="52" spans="1:15" s="6" customFormat="1" ht="13.7" customHeight="1" x14ac:dyDescent="0.2">
      <c r="A52" s="57" t="str">
        <f>'Deckungsbeitrag Arbeitsgänge'!A53</f>
        <v>Herbizid 2 x</v>
      </c>
      <c r="B52" s="65">
        <f>'Deckungsbeitrag Arbeitsgänge'!B53</f>
        <v>4</v>
      </c>
      <c r="C52" s="408"/>
      <c r="D52" s="347"/>
      <c r="E52" s="412">
        <v>2</v>
      </c>
      <c r="F52" s="410"/>
      <c r="G52" s="410"/>
      <c r="H52" s="412"/>
      <c r="I52" s="410"/>
      <c r="J52" s="410"/>
      <c r="K52" s="409">
        <v>2</v>
      </c>
      <c r="L52" s="410"/>
      <c r="M52" s="410"/>
      <c r="N52" s="411"/>
      <c r="O52" s="69">
        <f t="shared" si="2"/>
        <v>4</v>
      </c>
    </row>
    <row r="53" spans="1:15" s="6" customFormat="1" ht="13.7" customHeight="1" x14ac:dyDescent="0.2">
      <c r="A53" s="57" t="str">
        <f>'Deckungsbeitrag Arbeitsgänge'!A54</f>
        <v>Mineraldüngung 2 x</v>
      </c>
      <c r="B53" s="65">
        <f>'Deckungsbeitrag Arbeitsgänge'!B54</f>
        <v>4</v>
      </c>
      <c r="C53" s="408"/>
      <c r="D53" s="347"/>
      <c r="E53" s="409">
        <v>2</v>
      </c>
      <c r="F53" s="410"/>
      <c r="G53" s="410">
        <v>2</v>
      </c>
      <c r="H53" s="412"/>
      <c r="I53" s="410"/>
      <c r="J53" s="410"/>
      <c r="K53" s="409"/>
      <c r="L53" s="410"/>
      <c r="M53" s="410"/>
      <c r="N53" s="411"/>
      <c r="O53" s="69">
        <f t="shared" si="2"/>
        <v>4</v>
      </c>
    </row>
    <row r="54" spans="1:15" s="6" customFormat="1" ht="13.7" customHeight="1" x14ac:dyDescent="0.2">
      <c r="A54" s="57" t="str">
        <f>'Deckungsbeitrag Arbeitsgänge'!A55</f>
        <v>Pflanzenschutz 7 x</v>
      </c>
      <c r="B54" s="65">
        <f>'Deckungsbeitrag Arbeitsgänge'!B55</f>
        <v>14</v>
      </c>
      <c r="C54" s="408"/>
      <c r="D54" s="347"/>
      <c r="E54" s="409"/>
      <c r="F54" s="410">
        <v>4</v>
      </c>
      <c r="G54" s="410">
        <v>4</v>
      </c>
      <c r="H54" s="409">
        <v>2</v>
      </c>
      <c r="I54" s="410"/>
      <c r="J54" s="410">
        <v>2</v>
      </c>
      <c r="K54" s="409">
        <v>2</v>
      </c>
      <c r="L54" s="410"/>
      <c r="M54" s="410"/>
      <c r="N54" s="411"/>
      <c r="O54" s="69">
        <f t="shared" si="2"/>
        <v>14</v>
      </c>
    </row>
    <row r="55" spans="1:15" s="6" customFormat="1" ht="13.7" customHeight="1" x14ac:dyDescent="0.2">
      <c r="A55" s="57" t="str">
        <f>'Deckungsbeitrag Arbeitsgänge'!A56</f>
        <v>Mulchen 5 x</v>
      </c>
      <c r="B55" s="65">
        <f>'Deckungsbeitrag Arbeitsgänge'!B56</f>
        <v>10</v>
      </c>
      <c r="C55" s="408"/>
      <c r="D55" s="347"/>
      <c r="E55" s="425"/>
      <c r="F55" s="410">
        <v>2</v>
      </c>
      <c r="G55" s="410">
        <v>2</v>
      </c>
      <c r="H55" s="409">
        <v>2</v>
      </c>
      <c r="I55" s="410">
        <v>2</v>
      </c>
      <c r="J55" s="410">
        <v>2</v>
      </c>
      <c r="K55" s="409"/>
      <c r="L55" s="410"/>
      <c r="M55" s="410"/>
      <c r="N55" s="411"/>
      <c r="O55" s="69">
        <f t="shared" si="2"/>
        <v>10</v>
      </c>
    </row>
    <row r="56" spans="1:15" s="6" customFormat="1" ht="13.7" customHeight="1" x14ac:dyDescent="0.2">
      <c r="A56" s="57" t="str">
        <f>'Deckungsbeitrag Arbeitsgänge'!A57</f>
        <v>Bewässerung</v>
      </c>
      <c r="B56" s="65">
        <f>'Deckungsbeitrag Arbeitsgänge'!B57</f>
        <v>5</v>
      </c>
      <c r="C56" s="408"/>
      <c r="D56" s="347"/>
      <c r="E56" s="409"/>
      <c r="F56" s="410">
        <v>1</v>
      </c>
      <c r="G56" s="410">
        <v>1</v>
      </c>
      <c r="H56" s="409">
        <v>1</v>
      </c>
      <c r="I56" s="410">
        <v>1</v>
      </c>
      <c r="J56" s="410">
        <v>1</v>
      </c>
      <c r="K56" s="409"/>
      <c r="L56" s="410"/>
      <c r="M56" s="410"/>
      <c r="N56" s="411"/>
      <c r="O56" s="69">
        <f t="shared" si="2"/>
        <v>5</v>
      </c>
    </row>
    <row r="57" spans="1:15" s="6" customFormat="1" ht="13.7" customHeight="1" x14ac:dyDescent="0.2">
      <c r="A57" s="57" t="str">
        <f>'Deckungsbeitrag Arbeitsgänge'!A58</f>
        <v>Kontrolle</v>
      </c>
      <c r="B57" s="65">
        <f>'Deckungsbeitrag Arbeitsgänge'!B58</f>
        <v>10</v>
      </c>
      <c r="C57" s="408"/>
      <c r="D57" s="347"/>
      <c r="E57" s="409"/>
      <c r="F57" s="410">
        <v>1</v>
      </c>
      <c r="G57" s="410">
        <v>2</v>
      </c>
      <c r="H57" s="409">
        <v>2</v>
      </c>
      <c r="I57" s="410">
        <v>2</v>
      </c>
      <c r="J57" s="410">
        <v>1</v>
      </c>
      <c r="K57" s="409">
        <v>2</v>
      </c>
      <c r="L57" s="410"/>
      <c r="M57" s="410"/>
      <c r="N57" s="411"/>
      <c r="O57" s="69">
        <f t="shared" si="2"/>
        <v>10</v>
      </c>
    </row>
    <row r="58" spans="1:15" s="6" customFormat="1" ht="13.7" customHeight="1" x14ac:dyDescent="0.2">
      <c r="A58" s="57" t="str">
        <f>'Deckungsbeitrag Arbeitsgänge'!A59</f>
        <v xml:space="preserve">Kompost i.d.R. 100 m³ </v>
      </c>
      <c r="B58" s="65">
        <f>'Deckungsbeitrag Arbeitsgänge'!B59</f>
        <v>25</v>
      </c>
      <c r="C58" s="408"/>
      <c r="D58" s="347"/>
      <c r="E58" s="409">
        <v>25</v>
      </c>
      <c r="F58" s="410"/>
      <c r="G58" s="410"/>
      <c r="H58" s="414"/>
      <c r="I58" s="410"/>
      <c r="J58" s="410"/>
      <c r="K58" s="414"/>
      <c r="L58" s="410"/>
      <c r="M58" s="410"/>
      <c r="N58" s="411"/>
      <c r="O58" s="69">
        <f t="shared" si="2"/>
        <v>25</v>
      </c>
    </row>
    <row r="59" spans="1:15" s="6" customFormat="1" ht="13.7" customHeight="1" x14ac:dyDescent="0.2">
      <c r="A59" s="57" t="str">
        <f>'Deckungsbeitrag Arbeitsgänge'!A60</f>
        <v>Haupttriebe anclipsen</v>
      </c>
      <c r="B59" s="65">
        <f>'Deckungsbeitrag Arbeitsgänge'!B60</f>
        <v>60</v>
      </c>
      <c r="C59" s="408"/>
      <c r="D59" s="347">
        <v>60</v>
      </c>
      <c r="E59" s="409"/>
      <c r="F59" s="410"/>
      <c r="G59" s="410"/>
      <c r="H59" s="409"/>
      <c r="I59" s="410"/>
      <c r="J59" s="410"/>
      <c r="K59" s="414"/>
      <c r="L59" s="410"/>
      <c r="M59" s="410"/>
      <c r="N59" s="411"/>
      <c r="O59" s="69">
        <f t="shared" si="2"/>
        <v>60</v>
      </c>
    </row>
    <row r="60" spans="1:15" s="6" customFormat="1" ht="13.7" customHeight="1" x14ac:dyDescent="0.2">
      <c r="A60" s="57" t="str">
        <f>'Deckungsbeitrag Arbeitsgänge'!A61</f>
        <v>Aufputzen, abstreifen</v>
      </c>
      <c r="B60" s="65">
        <f>'Deckungsbeitrag Arbeitsgänge'!B61</f>
        <v>20</v>
      </c>
      <c r="C60" s="408"/>
      <c r="D60" s="347"/>
      <c r="E60" s="409">
        <v>20</v>
      </c>
      <c r="F60" s="410"/>
      <c r="G60" s="410"/>
      <c r="H60" s="409"/>
      <c r="I60" s="410"/>
      <c r="J60" s="410"/>
      <c r="K60" s="409"/>
      <c r="L60" s="410"/>
      <c r="M60" s="410"/>
      <c r="N60" s="411"/>
      <c r="O60" s="69">
        <f t="shared" si="2"/>
        <v>20</v>
      </c>
    </row>
    <row r="61" spans="1:15" s="6" customFormat="1" ht="13.7" customHeight="1" x14ac:dyDescent="0.2">
      <c r="A61" s="57">
        <f>'Deckungsbeitrag Arbeitsgänge'!A62</f>
        <v>0</v>
      </c>
      <c r="B61" s="65">
        <f>'Deckungsbeitrag Arbeitsgänge'!B62</f>
        <v>0</v>
      </c>
      <c r="C61" s="408"/>
      <c r="D61" s="347"/>
      <c r="E61" s="409"/>
      <c r="F61" s="410"/>
      <c r="G61" s="410"/>
      <c r="H61" s="409"/>
      <c r="I61" s="410"/>
      <c r="J61" s="410"/>
      <c r="K61" s="409"/>
      <c r="L61" s="410"/>
      <c r="M61" s="410"/>
      <c r="N61" s="411"/>
      <c r="O61" s="69">
        <f t="shared" si="2"/>
        <v>0</v>
      </c>
    </row>
    <row r="62" spans="1:15" s="6" customFormat="1" ht="13.7" customHeight="1" x14ac:dyDescent="0.2">
      <c r="A62" s="57">
        <f>'Deckungsbeitrag Arbeitsgänge'!A63</f>
        <v>0</v>
      </c>
      <c r="B62" s="65">
        <f>'Deckungsbeitrag Arbeitsgänge'!B63</f>
        <v>0</v>
      </c>
      <c r="C62" s="408"/>
      <c r="D62" s="347"/>
      <c r="E62" s="409"/>
      <c r="F62" s="410"/>
      <c r="G62" s="410"/>
      <c r="H62" s="409"/>
      <c r="I62" s="410"/>
      <c r="J62" s="410"/>
      <c r="K62" s="409"/>
      <c r="L62" s="410"/>
      <c r="M62" s="410"/>
      <c r="N62" s="411"/>
      <c r="O62" s="69">
        <f t="shared" si="2"/>
        <v>0</v>
      </c>
    </row>
    <row r="63" spans="1:15" s="6" customFormat="1" ht="13.7" customHeight="1" x14ac:dyDescent="0.2">
      <c r="A63" s="57">
        <f>'Deckungsbeitrag Arbeitsgänge'!A64</f>
        <v>0</v>
      </c>
      <c r="B63" s="65">
        <f>'Deckungsbeitrag Arbeitsgänge'!B64</f>
        <v>0</v>
      </c>
      <c r="C63" s="408"/>
      <c r="D63" s="347"/>
      <c r="E63" s="409"/>
      <c r="F63" s="410"/>
      <c r="G63" s="410"/>
      <c r="H63" s="409"/>
      <c r="I63" s="410"/>
      <c r="J63" s="410"/>
      <c r="K63" s="409"/>
      <c r="L63" s="410"/>
      <c r="M63" s="410"/>
      <c r="N63" s="411"/>
      <c r="O63" s="69">
        <f t="shared" si="2"/>
        <v>0</v>
      </c>
    </row>
    <row r="64" spans="1:15" s="6" customFormat="1" ht="13.7" customHeight="1" x14ac:dyDescent="0.2">
      <c r="A64" s="57">
        <f>'Deckungsbeitrag Arbeitsgänge'!A65</f>
        <v>0</v>
      </c>
      <c r="B64" s="65">
        <f>'Deckungsbeitrag Arbeitsgänge'!B65</f>
        <v>0</v>
      </c>
      <c r="C64" s="408"/>
      <c r="D64" s="347"/>
      <c r="E64" s="409"/>
      <c r="F64" s="410"/>
      <c r="G64" s="410"/>
      <c r="H64" s="409"/>
      <c r="I64" s="410"/>
      <c r="J64" s="410"/>
      <c r="K64" s="409"/>
      <c r="L64" s="410"/>
      <c r="M64" s="410"/>
      <c r="N64" s="411"/>
      <c r="O64" s="69">
        <f t="shared" si="2"/>
        <v>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08"/>
      <c r="D65" s="347"/>
      <c r="E65" s="409"/>
      <c r="F65" s="410"/>
      <c r="G65" s="410"/>
      <c r="H65" s="409"/>
      <c r="I65" s="410"/>
      <c r="J65" s="410"/>
      <c r="K65" s="409"/>
      <c r="L65" s="410"/>
      <c r="M65" s="410"/>
      <c r="N65" s="411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08"/>
      <c r="D66" s="347"/>
      <c r="E66" s="409"/>
      <c r="F66" s="410"/>
      <c r="G66" s="410"/>
      <c r="H66" s="409"/>
      <c r="I66" s="410"/>
      <c r="J66" s="410"/>
      <c r="K66" s="409"/>
      <c r="L66" s="410"/>
      <c r="M66" s="410"/>
      <c r="N66" s="411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08"/>
      <c r="D67" s="347"/>
      <c r="E67" s="409"/>
      <c r="F67" s="410"/>
      <c r="G67" s="410"/>
      <c r="H67" s="409"/>
      <c r="I67" s="410"/>
      <c r="J67" s="410"/>
      <c r="K67" s="409"/>
      <c r="L67" s="410"/>
      <c r="M67" s="410"/>
      <c r="N67" s="411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08"/>
      <c r="D68" s="347"/>
      <c r="E68" s="409"/>
      <c r="F68" s="410"/>
      <c r="G68" s="410"/>
      <c r="H68" s="409"/>
      <c r="I68" s="410"/>
      <c r="J68" s="410"/>
      <c r="K68" s="409"/>
      <c r="L68" s="410"/>
      <c r="M68" s="410"/>
      <c r="N68" s="411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08"/>
      <c r="D69" s="347"/>
      <c r="E69" s="409"/>
      <c r="F69" s="410"/>
      <c r="G69" s="410"/>
      <c r="H69" s="409"/>
      <c r="I69" s="410"/>
      <c r="J69" s="410"/>
      <c r="K69" s="409"/>
      <c r="L69" s="410"/>
      <c r="M69" s="410"/>
      <c r="N69" s="411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08"/>
      <c r="D70" s="347"/>
      <c r="E70" s="409"/>
      <c r="F70" s="410"/>
      <c r="G70" s="410"/>
      <c r="H70" s="409"/>
      <c r="I70" s="410"/>
      <c r="J70" s="410"/>
      <c r="K70" s="409"/>
      <c r="L70" s="410"/>
      <c r="M70" s="410"/>
      <c r="N70" s="411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08"/>
      <c r="D71" s="347"/>
      <c r="E71" s="409"/>
      <c r="F71" s="410"/>
      <c r="G71" s="410"/>
      <c r="H71" s="409"/>
      <c r="I71" s="410"/>
      <c r="J71" s="410"/>
      <c r="K71" s="409"/>
      <c r="L71" s="410"/>
      <c r="M71" s="410"/>
      <c r="N71" s="411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08"/>
      <c r="D72" s="347"/>
      <c r="E72" s="409"/>
      <c r="F72" s="410"/>
      <c r="G72" s="410"/>
      <c r="H72" s="409"/>
      <c r="I72" s="410"/>
      <c r="J72" s="410"/>
      <c r="K72" s="409"/>
      <c r="L72" s="410"/>
      <c r="M72" s="410"/>
      <c r="N72" s="411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08"/>
      <c r="D73" s="347"/>
      <c r="E73" s="409"/>
      <c r="F73" s="410"/>
      <c r="G73" s="410"/>
      <c r="H73" s="409"/>
      <c r="I73" s="410"/>
      <c r="J73" s="410"/>
      <c r="K73" s="409"/>
      <c r="L73" s="410"/>
      <c r="M73" s="410"/>
      <c r="N73" s="411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08"/>
      <c r="D74" s="347"/>
      <c r="E74" s="409"/>
      <c r="F74" s="410"/>
      <c r="G74" s="410"/>
      <c r="H74" s="409"/>
      <c r="I74" s="410"/>
      <c r="J74" s="410"/>
      <c r="K74" s="409"/>
      <c r="L74" s="410"/>
      <c r="M74" s="410"/>
      <c r="N74" s="411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26"/>
      <c r="D75" s="427"/>
      <c r="E75" s="428"/>
      <c r="F75" s="429"/>
      <c r="G75" s="429"/>
      <c r="H75" s="428"/>
      <c r="I75" s="429"/>
      <c r="J75" s="429"/>
      <c r="K75" s="428"/>
      <c r="L75" s="429"/>
      <c r="M75" s="429"/>
      <c r="N75" s="430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1109.5</v>
      </c>
      <c r="C76" s="23">
        <f>SUM(C50:C75)</f>
        <v>0</v>
      </c>
      <c r="D76" s="23">
        <f t="shared" ref="D76" si="3">SUM(D50:D75)</f>
        <v>60</v>
      </c>
      <c r="E76" s="72">
        <f t="shared" ref="E76" si="4">SUM(E50:E75)</f>
        <v>49</v>
      </c>
      <c r="F76" s="73">
        <f t="shared" ref="F76" si="5">SUM(F50:F75)</f>
        <v>8</v>
      </c>
      <c r="G76" s="74">
        <f t="shared" ref="G76" si="6">SUM(G50:G75)</f>
        <v>11</v>
      </c>
      <c r="H76" s="72">
        <f t="shared" ref="H76" si="7">SUM(H50:H75)</f>
        <v>7</v>
      </c>
      <c r="I76" s="73">
        <f t="shared" ref="I76" si="8">SUM(I50:I75)</f>
        <v>963</v>
      </c>
      <c r="J76" s="74">
        <f t="shared" ref="J76" si="9">SUM(J50:J75)</f>
        <v>6</v>
      </c>
      <c r="K76" s="72">
        <f t="shared" ref="K76" si="10">SUM(K50:K75)</f>
        <v>6</v>
      </c>
      <c r="L76" s="73">
        <f t="shared" ref="L76" si="11">SUM(L50:L75)</f>
        <v>0</v>
      </c>
      <c r="M76" s="74">
        <f t="shared" ref="M76" si="12">SUM(M50:M75)</f>
        <v>0</v>
      </c>
      <c r="N76" s="75">
        <f t="shared" ref="N76" si="13">SUM(N50:N75)</f>
        <v>0</v>
      </c>
      <c r="O76" s="64">
        <f>SUM(C76:N76)</f>
        <v>1110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71" t="s">
        <v>179</v>
      </c>
      <c r="J79" s="6"/>
      <c r="K79" s="6"/>
      <c r="L79" s="6"/>
      <c r="M79" s="6"/>
      <c r="N79" s="6"/>
    </row>
    <row r="80" spans="1:15" ht="15.75" x14ac:dyDescent="0.3">
      <c r="A80" s="471" t="s">
        <v>217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 t="str">
        <f>'Deckungsbeitrag Arbeitsgänge'!B85</f>
        <v>Rote Johannisbeeren, Rovada, 3-Ast-Hecke, Bodenkultur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Drähte entfernen</v>
      </c>
      <c r="B86" s="60">
        <f>'Deckungsbeitrag Arbeitsgänge'!B88</f>
        <v>12</v>
      </c>
      <c r="C86" s="408"/>
      <c r="D86" s="347"/>
      <c r="E86" s="409"/>
      <c r="F86" s="410"/>
      <c r="G86" s="410"/>
      <c r="H86" s="409"/>
      <c r="I86" s="410"/>
      <c r="J86" s="410"/>
      <c r="K86" s="409"/>
      <c r="L86" s="410">
        <v>12</v>
      </c>
      <c r="M86" s="410"/>
      <c r="N86" s="411"/>
      <c r="O86" s="69">
        <f t="shared" ref="O86:O115" si="14">SUM(C86:N86)</f>
        <v>12</v>
      </c>
    </row>
    <row r="87" spans="1:15" ht="13.7" customHeight="1" x14ac:dyDescent="0.2">
      <c r="A87" s="58" t="str">
        <f>'Deckungsbeitrag Arbeitsgänge'!A89</f>
        <v>Pfähle herausziehen</v>
      </c>
      <c r="B87" s="60">
        <f>'Deckungsbeitrag Arbeitsgänge'!B89</f>
        <v>6</v>
      </c>
      <c r="C87" s="408"/>
      <c r="D87" s="347"/>
      <c r="E87" s="412"/>
      <c r="F87" s="410"/>
      <c r="G87" s="410"/>
      <c r="H87" s="412"/>
      <c r="I87" s="410"/>
      <c r="J87" s="410"/>
      <c r="K87" s="409"/>
      <c r="L87" s="410">
        <v>6</v>
      </c>
      <c r="M87" s="410"/>
      <c r="N87" s="411"/>
      <c r="O87" s="69">
        <f t="shared" si="14"/>
        <v>6</v>
      </c>
    </row>
    <row r="88" spans="1:15" ht="13.7" customHeight="1" x14ac:dyDescent="0.2">
      <c r="A88" s="58" t="str">
        <f>'Deckungsbeitrag Arbeitsgänge'!A90</f>
        <v>Häckseln</v>
      </c>
      <c r="B88" s="60">
        <f>'Deckungsbeitrag Arbeitsgänge'!B90</f>
        <v>4</v>
      </c>
      <c r="C88" s="408"/>
      <c r="D88" s="347"/>
      <c r="E88" s="409"/>
      <c r="F88" s="410"/>
      <c r="G88" s="410"/>
      <c r="H88" s="412"/>
      <c r="I88" s="410"/>
      <c r="J88" s="410"/>
      <c r="K88" s="409"/>
      <c r="L88" s="410">
        <v>4</v>
      </c>
      <c r="M88" s="410"/>
      <c r="N88" s="411"/>
      <c r="O88" s="69">
        <f t="shared" si="14"/>
        <v>4</v>
      </c>
    </row>
    <row r="89" spans="1:15" ht="13.7" customHeight="1" x14ac:dyDescent="0.2">
      <c r="A89" s="58">
        <f>'Deckungsbeitrag Arbeitsgänge'!A91</f>
        <v>0</v>
      </c>
      <c r="B89" s="60">
        <f>'Deckungsbeitrag Arbeitsgänge'!B91</f>
        <v>0</v>
      </c>
      <c r="C89" s="413"/>
      <c r="D89" s="412"/>
      <c r="E89" s="412"/>
      <c r="F89" s="412"/>
      <c r="G89" s="412"/>
      <c r="H89" s="412"/>
      <c r="I89" s="412"/>
      <c r="J89" s="412"/>
      <c r="K89" s="412"/>
      <c r="L89" s="412"/>
      <c r="M89" s="412"/>
      <c r="N89" s="414"/>
      <c r="O89" s="69">
        <f t="shared" si="14"/>
        <v>0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13"/>
      <c r="D90" s="412"/>
      <c r="E90" s="412"/>
      <c r="F90" s="412"/>
      <c r="G90" s="412"/>
      <c r="H90" s="412"/>
      <c r="I90" s="412"/>
      <c r="J90" s="412"/>
      <c r="K90" s="412"/>
      <c r="L90" s="412"/>
      <c r="M90" s="412"/>
      <c r="N90" s="414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13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4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Pflügen</v>
      </c>
      <c r="B93" s="60">
        <f>'Deckungsbeitrag Arbeitsgänge'!B95</f>
        <v>2</v>
      </c>
      <c r="C93" s="415"/>
      <c r="D93" s="414"/>
      <c r="E93" s="414"/>
      <c r="F93" s="414"/>
      <c r="G93" s="414"/>
      <c r="H93" s="414"/>
      <c r="I93" s="414"/>
      <c r="J93" s="414"/>
      <c r="K93" s="414"/>
      <c r="L93" s="414">
        <v>2</v>
      </c>
      <c r="M93" s="414"/>
      <c r="N93" s="414"/>
      <c r="O93" s="69">
        <f t="shared" si="14"/>
        <v>2</v>
      </c>
    </row>
    <row r="94" spans="1:15" ht="13.7" customHeight="1" x14ac:dyDescent="0.2">
      <c r="A94" s="58" t="str">
        <f>'Deckungsbeitrag Arbeitsgänge'!A96</f>
        <v>Fräsen</v>
      </c>
      <c r="B94" s="60">
        <f>'Deckungsbeitrag Arbeitsgänge'!B96</f>
        <v>2</v>
      </c>
      <c r="C94" s="415"/>
      <c r="D94" s="414"/>
      <c r="E94" s="414"/>
      <c r="F94" s="414"/>
      <c r="G94" s="414"/>
      <c r="H94" s="414"/>
      <c r="I94" s="414"/>
      <c r="J94" s="414"/>
      <c r="K94" s="414"/>
      <c r="L94" s="414">
        <v>2</v>
      </c>
      <c r="M94" s="414"/>
      <c r="N94" s="414"/>
      <c r="O94" s="69">
        <f t="shared" si="14"/>
        <v>2</v>
      </c>
    </row>
    <row r="95" spans="1:15" ht="13.7" customHeight="1" x14ac:dyDescent="0.2">
      <c r="A95" s="58" t="str">
        <f>'Deckungsbeitrag Arbeitsgänge'!A97</f>
        <v>Vermessen der Reihen</v>
      </c>
      <c r="B95" s="60">
        <f>'Deckungsbeitrag Arbeitsgänge'!B97</f>
        <v>1</v>
      </c>
      <c r="C95" s="415"/>
      <c r="D95" s="414"/>
      <c r="E95" s="414"/>
      <c r="F95" s="414"/>
      <c r="G95" s="414"/>
      <c r="H95" s="414"/>
      <c r="I95" s="414"/>
      <c r="J95" s="414"/>
      <c r="K95" s="414"/>
      <c r="L95" s="414">
        <v>1</v>
      </c>
      <c r="M95" s="414"/>
      <c r="N95" s="414"/>
      <c r="O95" s="69">
        <f t="shared" si="14"/>
        <v>1</v>
      </c>
    </row>
    <row r="96" spans="1:15" ht="13.7" customHeight="1" x14ac:dyDescent="0.2">
      <c r="A96" s="58" t="str">
        <f>'Deckungsbeitrag Arbeitsgänge'!A98</f>
        <v>Pflanzen, maschinell</v>
      </c>
      <c r="B96" s="60">
        <f>'Deckungsbeitrag Arbeitsgänge'!B98</f>
        <v>25</v>
      </c>
      <c r="C96" s="415"/>
      <c r="D96" s="414"/>
      <c r="E96" s="414"/>
      <c r="F96" s="414"/>
      <c r="G96" s="414"/>
      <c r="H96" s="414"/>
      <c r="I96" s="414"/>
      <c r="J96" s="414"/>
      <c r="K96" s="414"/>
      <c r="L96" s="414"/>
      <c r="M96" s="414">
        <v>25</v>
      </c>
      <c r="N96" s="414"/>
      <c r="O96" s="69">
        <f t="shared" si="14"/>
        <v>25</v>
      </c>
    </row>
    <row r="97" spans="1:15" ht="13.7" customHeight="1" x14ac:dyDescent="0.2">
      <c r="A97" s="58" t="str">
        <f>'Deckungsbeitrag Arbeitsgänge'!A99</f>
        <v>Stickel aufstellen</v>
      </c>
      <c r="B97" s="60">
        <f>'Deckungsbeitrag Arbeitsgänge'!B99</f>
        <v>20</v>
      </c>
      <c r="C97" s="415"/>
      <c r="D97" s="414"/>
      <c r="E97" s="414">
        <v>20</v>
      </c>
      <c r="F97" s="414"/>
      <c r="G97" s="414"/>
      <c r="H97" s="414"/>
      <c r="I97" s="414"/>
      <c r="J97" s="414"/>
      <c r="K97" s="414"/>
      <c r="L97" s="414"/>
      <c r="M97" s="414"/>
      <c r="N97" s="414"/>
      <c r="O97" s="69">
        <f t="shared" si="14"/>
        <v>20</v>
      </c>
    </row>
    <row r="98" spans="1:15" ht="13.7" customHeight="1" x14ac:dyDescent="0.2">
      <c r="A98" s="58" t="str">
        <f>'Deckungsbeitrag Arbeitsgänge'!A100</f>
        <v>Drähte ziehen</v>
      </c>
      <c r="B98" s="60">
        <f>'Deckungsbeitrag Arbeitsgänge'!B100</f>
        <v>20</v>
      </c>
      <c r="C98" s="415"/>
      <c r="D98" s="414"/>
      <c r="E98" s="414">
        <v>20</v>
      </c>
      <c r="F98" s="414"/>
      <c r="G98" s="414"/>
      <c r="H98" s="414"/>
      <c r="I98" s="414"/>
      <c r="J98" s="414"/>
      <c r="K98" s="414"/>
      <c r="L98" s="414"/>
      <c r="M98" s="414"/>
      <c r="N98" s="414"/>
      <c r="O98" s="69">
        <f t="shared" si="14"/>
        <v>20</v>
      </c>
    </row>
    <row r="99" spans="1:15" ht="13.7" customHeight="1" x14ac:dyDescent="0.2">
      <c r="A99" s="58" t="str">
        <f>'Deckungsbeitrag Arbeitsgänge'!A101</f>
        <v>Bewässerung install.</v>
      </c>
      <c r="B99" s="60">
        <f>'Deckungsbeitrag Arbeitsgänge'!B101</f>
        <v>70</v>
      </c>
      <c r="C99" s="415"/>
      <c r="D99" s="414"/>
      <c r="E99" s="414">
        <v>70</v>
      </c>
      <c r="F99" s="414"/>
      <c r="G99" s="414"/>
      <c r="H99" s="414"/>
      <c r="I99" s="414"/>
      <c r="J99" s="414"/>
      <c r="K99" s="414"/>
      <c r="L99" s="414"/>
      <c r="M99" s="414"/>
      <c r="N99" s="414"/>
      <c r="O99" s="69">
        <f t="shared" si="14"/>
        <v>70</v>
      </c>
    </row>
    <row r="100" spans="1:15" ht="13.7" customHeight="1" x14ac:dyDescent="0.2">
      <c r="A100" s="58" t="str">
        <f>'Deckungsbeitrag Arbeitsgänge'!A102</f>
        <v>Einsaat Gassen</v>
      </c>
      <c r="B100" s="60">
        <f>'Deckungsbeitrag Arbeitsgänge'!B102</f>
        <v>4</v>
      </c>
      <c r="C100" s="415"/>
      <c r="D100" s="414"/>
      <c r="E100" s="412">
        <v>4</v>
      </c>
      <c r="F100" s="414"/>
      <c r="G100" s="414"/>
      <c r="H100" s="414"/>
      <c r="I100" s="414"/>
      <c r="J100" s="414"/>
      <c r="K100" s="414"/>
      <c r="L100" s="414"/>
      <c r="M100" s="414"/>
      <c r="N100" s="414"/>
      <c r="O100" s="69">
        <f t="shared" si="14"/>
        <v>4</v>
      </c>
    </row>
    <row r="101" spans="1:15" ht="13.7" customHeight="1" x14ac:dyDescent="0.2">
      <c r="A101" s="58">
        <f>'Deckungsbeitrag Arbeitsgänge'!A103</f>
        <v>0</v>
      </c>
      <c r="B101" s="60">
        <f>'Deckungsbeitrag Arbeitsgänge'!B103</f>
        <v>0</v>
      </c>
      <c r="C101" s="415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69">
        <f t="shared" si="14"/>
        <v>0</v>
      </c>
    </row>
    <row r="102" spans="1:15" ht="13.7" customHeight="1" x14ac:dyDescent="0.2">
      <c r="A102" s="58">
        <f>'Deckungsbeitrag Arbeitsgänge'!A104</f>
        <v>0</v>
      </c>
      <c r="B102" s="60">
        <f>'Deckungsbeitrag Arbeitsgänge'!B104</f>
        <v>0</v>
      </c>
      <c r="C102" s="415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69">
        <f t="shared" si="14"/>
        <v>0</v>
      </c>
    </row>
    <row r="103" spans="1:15" ht="13.7" customHeight="1" x14ac:dyDescent="0.2">
      <c r="A103" s="58">
        <f>'Deckungsbeitrag Arbeitsgänge'!A105</f>
        <v>0</v>
      </c>
      <c r="B103" s="60">
        <f>'Deckungsbeitrag Arbeitsgänge'!B105</f>
        <v>0</v>
      </c>
      <c r="C103" s="415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69">
        <f t="shared" si="14"/>
        <v>0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15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aufputzen, Mitteltrieb fördern</v>
      </c>
      <c r="B107" s="60">
        <f>'Deckungsbeitrag Arbeitsgänge'!B109</f>
        <v>60</v>
      </c>
      <c r="C107" s="415"/>
      <c r="D107" s="414"/>
      <c r="E107" s="414"/>
      <c r="F107" s="414"/>
      <c r="G107" s="414">
        <v>60</v>
      </c>
      <c r="H107" s="414"/>
      <c r="I107" s="414"/>
      <c r="J107" s="414"/>
      <c r="K107" s="414"/>
      <c r="L107" s="414"/>
      <c r="M107" s="414"/>
      <c r="N107" s="414"/>
      <c r="O107" s="69">
        <f t="shared" si="14"/>
        <v>60</v>
      </c>
    </row>
    <row r="108" spans="1:15" ht="13.7" customHeight="1" x14ac:dyDescent="0.2">
      <c r="A108" s="58" t="str">
        <f>'Deckungsbeitrag Arbeitsgänge'!A110</f>
        <v>Herbizid 1 x</v>
      </c>
      <c r="B108" s="60">
        <f>'Deckungsbeitrag Arbeitsgänge'!B110</f>
        <v>2</v>
      </c>
      <c r="C108" s="415"/>
      <c r="D108" s="414"/>
      <c r="E108" s="414">
        <v>2</v>
      </c>
      <c r="F108" s="414"/>
      <c r="G108" s="414"/>
      <c r="H108" s="414"/>
      <c r="I108" s="414"/>
      <c r="J108" s="414"/>
      <c r="K108" s="414"/>
      <c r="L108" s="414"/>
      <c r="M108" s="414"/>
      <c r="N108" s="414"/>
      <c r="O108" s="69">
        <f t="shared" si="14"/>
        <v>2</v>
      </c>
    </row>
    <row r="109" spans="1:15" ht="13.7" customHeight="1" x14ac:dyDescent="0.2">
      <c r="A109" s="58" t="str">
        <f>'Deckungsbeitrag Arbeitsgänge'!A111</f>
        <v>Pflanzenschutz 3 x</v>
      </c>
      <c r="B109" s="60">
        <f>'Deckungsbeitrag Arbeitsgänge'!B111</f>
        <v>6</v>
      </c>
      <c r="C109" s="415"/>
      <c r="D109" s="414"/>
      <c r="E109" s="414"/>
      <c r="F109" s="414"/>
      <c r="G109" s="414">
        <v>2</v>
      </c>
      <c r="H109" s="414"/>
      <c r="I109" s="414">
        <v>2</v>
      </c>
      <c r="J109" s="414">
        <v>2</v>
      </c>
      <c r="K109" s="414"/>
      <c r="L109" s="414"/>
      <c r="M109" s="414"/>
      <c r="N109" s="414"/>
      <c r="O109" s="69">
        <f t="shared" si="14"/>
        <v>6</v>
      </c>
    </row>
    <row r="110" spans="1:15" ht="13.7" customHeight="1" x14ac:dyDescent="0.2">
      <c r="A110" s="58" t="str">
        <f>'Deckungsbeitrag Arbeitsgänge'!A112</f>
        <v>Mineraldüngung</v>
      </c>
      <c r="B110" s="60">
        <f>'Deckungsbeitrag Arbeitsgänge'!B112</f>
        <v>2</v>
      </c>
      <c r="C110" s="415"/>
      <c r="D110" s="414"/>
      <c r="E110" s="414">
        <v>2</v>
      </c>
      <c r="F110" s="414"/>
      <c r="G110" s="414"/>
      <c r="H110" s="414"/>
      <c r="I110" s="414"/>
      <c r="J110" s="414"/>
      <c r="K110" s="414"/>
      <c r="L110" s="414"/>
      <c r="M110" s="414"/>
      <c r="N110" s="414"/>
      <c r="O110" s="69">
        <f t="shared" si="14"/>
        <v>2</v>
      </c>
    </row>
    <row r="111" spans="1:15" ht="13.7" customHeight="1" x14ac:dyDescent="0.2">
      <c r="A111" s="58">
        <f>'Deckungsbeitrag Arbeitsgänge'!A113</f>
        <v>0</v>
      </c>
      <c r="B111" s="60">
        <f>'Deckungsbeitrag Arbeitsgänge'!B113</f>
        <v>0</v>
      </c>
      <c r="C111" s="415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69">
        <f t="shared" si="14"/>
        <v>0</v>
      </c>
    </row>
    <row r="112" spans="1:15" ht="13.7" customHeight="1" x14ac:dyDescent="0.2">
      <c r="A112" s="58">
        <f>'Deckungsbeitrag Arbeitsgänge'!A114</f>
        <v>0</v>
      </c>
      <c r="B112" s="60">
        <f>'Deckungsbeitrag Arbeitsgänge'!B114</f>
        <v>0</v>
      </c>
      <c r="C112" s="408"/>
      <c r="D112" s="347"/>
      <c r="E112" s="409"/>
      <c r="F112" s="410"/>
      <c r="G112" s="410"/>
      <c r="H112" s="409"/>
      <c r="I112" s="410"/>
      <c r="J112" s="410"/>
      <c r="K112" s="409"/>
      <c r="L112" s="410"/>
      <c r="M112" s="410"/>
      <c r="N112" s="411"/>
      <c r="O112" s="69">
        <f t="shared" si="14"/>
        <v>0</v>
      </c>
    </row>
    <row r="113" spans="1:15" ht="13.7" customHeight="1" x14ac:dyDescent="0.2">
      <c r="A113" s="58">
        <f>'Deckungsbeitrag Arbeitsgänge'!A115</f>
        <v>0</v>
      </c>
      <c r="B113" s="60">
        <f>'Deckungsbeitrag Arbeitsgänge'!B115</f>
        <v>0</v>
      </c>
      <c r="C113" s="408"/>
      <c r="D113" s="347"/>
      <c r="E113" s="409"/>
      <c r="F113" s="410"/>
      <c r="G113" s="410"/>
      <c r="H113" s="409"/>
      <c r="I113" s="410"/>
      <c r="J113" s="410"/>
      <c r="K113" s="409"/>
      <c r="L113" s="410"/>
      <c r="M113" s="410"/>
      <c r="N113" s="411"/>
      <c r="O113" s="69">
        <f t="shared" si="14"/>
        <v>0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16"/>
      <c r="D114" s="352"/>
      <c r="E114" s="417"/>
      <c r="F114" s="418"/>
      <c r="G114" s="418"/>
      <c r="H114" s="417"/>
      <c r="I114" s="418"/>
      <c r="J114" s="418"/>
      <c r="K114" s="417"/>
      <c r="L114" s="418"/>
      <c r="M114" s="418"/>
      <c r="N114" s="419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236</v>
      </c>
      <c r="C115" s="79">
        <f>SUM(C85:C114)</f>
        <v>0</v>
      </c>
      <c r="D115" s="23">
        <f t="shared" ref="D115:N115" si="15">SUM(D85:D114)</f>
        <v>0</v>
      </c>
      <c r="E115" s="81">
        <f t="shared" si="15"/>
        <v>118</v>
      </c>
      <c r="F115" s="73">
        <f t="shared" si="15"/>
        <v>0</v>
      </c>
      <c r="G115" s="73">
        <f t="shared" si="15"/>
        <v>62</v>
      </c>
      <c r="H115" s="81">
        <f t="shared" si="15"/>
        <v>0</v>
      </c>
      <c r="I115" s="73">
        <f t="shared" si="15"/>
        <v>2</v>
      </c>
      <c r="J115" s="73">
        <f t="shared" si="15"/>
        <v>2</v>
      </c>
      <c r="K115" s="81">
        <f t="shared" si="15"/>
        <v>0</v>
      </c>
      <c r="L115" s="73">
        <f t="shared" si="15"/>
        <v>27</v>
      </c>
      <c r="M115" s="73">
        <f t="shared" si="15"/>
        <v>25</v>
      </c>
      <c r="N115" s="82">
        <f t="shared" si="15"/>
        <v>0</v>
      </c>
      <c r="O115" s="80">
        <f t="shared" si="14"/>
        <v>236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07">
        <v>10</v>
      </c>
      <c r="C124" s="42"/>
      <c r="D124" s="407">
        <v>2</v>
      </c>
      <c r="E124" s="42"/>
      <c r="F124" s="407">
        <v>1</v>
      </c>
      <c r="G124" s="42"/>
      <c r="H124" s="40">
        <f>B124+D124+F124</f>
        <v>13</v>
      </c>
      <c r="I124" s="42"/>
    </row>
    <row r="125" spans="1:15" x14ac:dyDescent="0.2">
      <c r="A125" s="86"/>
      <c r="B125" s="154"/>
      <c r="C125" s="42"/>
      <c r="D125" s="155"/>
      <c r="E125" s="42"/>
      <c r="F125" s="155"/>
      <c r="G125" s="42"/>
      <c r="H125" s="155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1591.9230769230769</v>
      </c>
      <c r="C130" s="84">
        <f t="shared" si="16"/>
        <v>76.92307692307692</v>
      </c>
      <c r="D130" s="84">
        <f t="shared" si="16"/>
        <v>86.153846153846146</v>
      </c>
      <c r="E130" s="84">
        <f t="shared" si="16"/>
        <v>72.769230769230774</v>
      </c>
      <c r="F130" s="84">
        <f t="shared" si="16"/>
        <v>25.076923076923077</v>
      </c>
      <c r="G130" s="84">
        <f t="shared" si="16"/>
        <v>13.384615384615383</v>
      </c>
      <c r="H130" s="84">
        <f t="shared" si="16"/>
        <v>6.4615384615384617</v>
      </c>
      <c r="I130" s="84">
        <f t="shared" si="16"/>
        <v>1297.5384615384617</v>
      </c>
      <c r="J130" s="84">
        <f t="shared" si="16"/>
        <v>5.6923076923076925</v>
      </c>
      <c r="K130" s="84">
        <f t="shared" si="16"/>
        <v>4</v>
      </c>
      <c r="L130" s="84">
        <f t="shared" si="16"/>
        <v>2.0769230769230771</v>
      </c>
      <c r="M130" s="84">
        <f t="shared" si="16"/>
        <v>1.9230769230769231</v>
      </c>
      <c r="N130" s="84">
        <f t="shared" si="16"/>
        <v>0</v>
      </c>
      <c r="O130" s="85">
        <f>SUM(C130:N130)</f>
        <v>1592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71" t="s">
        <v>179</v>
      </c>
    </row>
    <row r="3" spans="1:10" ht="15.75" x14ac:dyDescent="0.3">
      <c r="A3" s="471" t="s">
        <v>217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Rote Johannisbeeren, Rovada, 3-Ast-Hecke, Bodenkultur</v>
      </c>
      <c r="E6" s="11"/>
      <c r="F6" s="11"/>
      <c r="G6" s="11"/>
      <c r="H6" s="100"/>
      <c r="I6" s="99"/>
      <c r="J6" s="99"/>
    </row>
    <row r="7" spans="1:10" ht="15" x14ac:dyDescent="0.25">
      <c r="D7" s="11">
        <f>'Deckungsbeitrag Arbeitsgänge'!B7</f>
        <v>0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31">
        <v>1</v>
      </c>
      <c r="B14" s="291" t="s">
        <v>37</v>
      </c>
      <c r="C14" s="291" t="s">
        <v>244</v>
      </c>
      <c r="D14" s="432">
        <v>1</v>
      </c>
      <c r="E14" s="433">
        <v>1</v>
      </c>
      <c r="F14" s="101">
        <f>D14*E14</f>
        <v>1</v>
      </c>
      <c r="G14" s="441"/>
      <c r="H14" s="444">
        <v>49.36</v>
      </c>
      <c r="I14" s="132">
        <f t="shared" ref="I14:I43" si="0">F14*H14</f>
        <v>49.36</v>
      </c>
      <c r="J14" s="99"/>
    </row>
    <row r="15" spans="1:10" x14ac:dyDescent="0.2">
      <c r="A15" s="434"/>
      <c r="B15" s="277"/>
      <c r="C15" s="277" t="s">
        <v>245</v>
      </c>
      <c r="D15" s="435">
        <v>5</v>
      </c>
      <c r="E15" s="436">
        <v>1</v>
      </c>
      <c r="F15" s="102">
        <f t="shared" ref="F15:F49" si="1">D15*E15</f>
        <v>5</v>
      </c>
      <c r="G15" s="442"/>
      <c r="H15" s="445">
        <v>1.45</v>
      </c>
      <c r="I15" s="133">
        <f t="shared" si="0"/>
        <v>7.25</v>
      </c>
      <c r="J15" s="99"/>
    </row>
    <row r="16" spans="1:10" x14ac:dyDescent="0.2">
      <c r="A16" s="490"/>
      <c r="B16" s="491"/>
      <c r="C16" s="491" t="s">
        <v>246</v>
      </c>
      <c r="D16" s="492">
        <v>20</v>
      </c>
      <c r="E16" s="493">
        <v>1</v>
      </c>
      <c r="F16" s="494">
        <f t="shared" si="1"/>
        <v>20</v>
      </c>
      <c r="G16" s="495"/>
      <c r="H16" s="496">
        <v>2.8</v>
      </c>
      <c r="I16" s="134">
        <f t="shared" si="0"/>
        <v>56</v>
      </c>
      <c r="J16" s="99"/>
    </row>
    <row r="17" spans="1:10" x14ac:dyDescent="0.2">
      <c r="A17" s="434">
        <v>2</v>
      </c>
      <c r="B17" s="277" t="s">
        <v>37</v>
      </c>
      <c r="C17" s="277" t="s">
        <v>247</v>
      </c>
      <c r="D17" s="435">
        <v>2</v>
      </c>
      <c r="E17" s="436">
        <v>1</v>
      </c>
      <c r="F17" s="102">
        <f t="shared" si="1"/>
        <v>2</v>
      </c>
      <c r="G17" s="442"/>
      <c r="H17" s="445">
        <v>7.25</v>
      </c>
      <c r="I17" s="133">
        <f t="shared" si="0"/>
        <v>14.5</v>
      </c>
      <c r="J17" s="99"/>
    </row>
    <row r="18" spans="1:10" x14ac:dyDescent="0.2">
      <c r="A18" s="434"/>
      <c r="B18" s="277"/>
      <c r="C18" s="277" t="s">
        <v>248</v>
      </c>
      <c r="D18" s="435">
        <v>1</v>
      </c>
      <c r="E18" s="436">
        <v>1</v>
      </c>
      <c r="F18" s="102">
        <f t="shared" si="1"/>
        <v>1</v>
      </c>
      <c r="G18" s="442"/>
      <c r="H18" s="445">
        <v>95.27</v>
      </c>
      <c r="I18" s="133">
        <f t="shared" si="0"/>
        <v>95.27</v>
      </c>
      <c r="J18" s="99"/>
    </row>
    <row r="19" spans="1:10" x14ac:dyDescent="0.2">
      <c r="A19" s="434"/>
      <c r="B19" s="277"/>
      <c r="C19" s="277" t="s">
        <v>234</v>
      </c>
      <c r="D19" s="435">
        <v>0.5</v>
      </c>
      <c r="E19" s="436">
        <v>1</v>
      </c>
      <c r="F19" s="102">
        <f t="shared" si="1"/>
        <v>0.5</v>
      </c>
      <c r="G19" s="442"/>
      <c r="H19" s="445">
        <v>49.2</v>
      </c>
      <c r="I19" s="133">
        <f t="shared" si="0"/>
        <v>24.6</v>
      </c>
      <c r="J19" s="99"/>
    </row>
    <row r="20" spans="1:10" x14ac:dyDescent="0.2">
      <c r="A20" s="490"/>
      <c r="B20" s="491"/>
      <c r="C20" s="491" t="s">
        <v>233</v>
      </c>
      <c r="D20" s="492">
        <v>3</v>
      </c>
      <c r="E20" s="493">
        <v>1</v>
      </c>
      <c r="F20" s="494">
        <f t="shared" si="1"/>
        <v>3</v>
      </c>
      <c r="G20" s="495"/>
      <c r="H20" s="496">
        <v>1.4</v>
      </c>
      <c r="I20" s="134">
        <f t="shared" si="0"/>
        <v>4.1999999999999993</v>
      </c>
      <c r="J20" s="99"/>
    </row>
    <row r="21" spans="1:10" x14ac:dyDescent="0.2">
      <c r="A21" s="434">
        <v>3</v>
      </c>
      <c r="B21" s="277" t="s">
        <v>38</v>
      </c>
      <c r="C21" s="277" t="s">
        <v>232</v>
      </c>
      <c r="D21" s="435">
        <v>0.2</v>
      </c>
      <c r="E21" s="436">
        <v>1</v>
      </c>
      <c r="F21" s="102">
        <f t="shared" si="1"/>
        <v>0.2</v>
      </c>
      <c r="G21" s="442"/>
      <c r="H21" s="445">
        <v>144.9</v>
      </c>
      <c r="I21" s="133">
        <f t="shared" si="0"/>
        <v>28.980000000000004</v>
      </c>
      <c r="J21" s="99"/>
    </row>
    <row r="22" spans="1:10" x14ac:dyDescent="0.2">
      <c r="A22" s="490"/>
      <c r="B22" s="491"/>
      <c r="C22" s="491" t="s">
        <v>233</v>
      </c>
      <c r="D22" s="492">
        <v>3</v>
      </c>
      <c r="E22" s="493">
        <v>1</v>
      </c>
      <c r="F22" s="494">
        <f t="shared" si="1"/>
        <v>3</v>
      </c>
      <c r="G22" s="495"/>
      <c r="H22" s="496">
        <v>1.4</v>
      </c>
      <c r="I22" s="134">
        <f t="shared" si="0"/>
        <v>4.1999999999999993</v>
      </c>
      <c r="J22" s="99"/>
    </row>
    <row r="23" spans="1:10" x14ac:dyDescent="0.2">
      <c r="A23" s="434">
        <v>4</v>
      </c>
      <c r="B23" s="277" t="s">
        <v>38</v>
      </c>
      <c r="C23" s="277" t="s">
        <v>232</v>
      </c>
      <c r="D23" s="435">
        <v>0.2</v>
      </c>
      <c r="E23" s="436">
        <v>1</v>
      </c>
      <c r="F23" s="102">
        <f t="shared" si="1"/>
        <v>0.2</v>
      </c>
      <c r="G23" s="442"/>
      <c r="H23" s="445">
        <v>144.9</v>
      </c>
      <c r="I23" s="133">
        <f t="shared" si="0"/>
        <v>28.980000000000004</v>
      </c>
      <c r="J23" s="99"/>
    </row>
    <row r="24" spans="1:10" x14ac:dyDescent="0.2">
      <c r="A24" s="490"/>
      <c r="B24" s="491"/>
      <c r="C24" s="491" t="s">
        <v>233</v>
      </c>
      <c r="D24" s="492">
        <v>3</v>
      </c>
      <c r="E24" s="493">
        <v>1</v>
      </c>
      <c r="F24" s="494">
        <f t="shared" si="1"/>
        <v>3</v>
      </c>
      <c r="G24" s="495"/>
      <c r="H24" s="496">
        <v>1.4</v>
      </c>
      <c r="I24" s="134">
        <f t="shared" si="0"/>
        <v>4.1999999999999993</v>
      </c>
      <c r="J24" s="99"/>
    </row>
    <row r="25" spans="1:10" x14ac:dyDescent="0.2">
      <c r="A25" s="434">
        <v>5</v>
      </c>
      <c r="B25" s="277" t="s">
        <v>39</v>
      </c>
      <c r="C25" s="277" t="s">
        <v>244</v>
      </c>
      <c r="D25" s="435">
        <v>1</v>
      </c>
      <c r="E25" s="436">
        <v>1</v>
      </c>
      <c r="F25" s="102">
        <f t="shared" si="1"/>
        <v>1</v>
      </c>
      <c r="G25" s="442"/>
      <c r="H25" s="445">
        <v>49.36</v>
      </c>
      <c r="I25" s="133">
        <f t="shared" si="0"/>
        <v>49.36</v>
      </c>
      <c r="J25" s="99"/>
    </row>
    <row r="26" spans="1:10" x14ac:dyDescent="0.2">
      <c r="A26" s="434"/>
      <c r="B26" s="277"/>
      <c r="C26" s="277" t="s">
        <v>248</v>
      </c>
      <c r="D26" s="435">
        <v>1</v>
      </c>
      <c r="E26" s="436">
        <v>1</v>
      </c>
      <c r="F26" s="102">
        <f t="shared" si="1"/>
        <v>1</v>
      </c>
      <c r="G26" s="442"/>
      <c r="H26" s="445">
        <v>95.27</v>
      </c>
      <c r="I26" s="133">
        <f t="shared" si="0"/>
        <v>95.27</v>
      </c>
      <c r="J26" s="99"/>
    </row>
    <row r="27" spans="1:10" x14ac:dyDescent="0.2">
      <c r="A27" s="490"/>
      <c r="B27" s="491"/>
      <c r="C27" s="491" t="s">
        <v>233</v>
      </c>
      <c r="D27" s="492">
        <v>3</v>
      </c>
      <c r="E27" s="493">
        <v>1</v>
      </c>
      <c r="F27" s="494">
        <f t="shared" si="1"/>
        <v>3</v>
      </c>
      <c r="G27" s="495"/>
      <c r="H27" s="496">
        <v>1.4</v>
      </c>
      <c r="I27" s="134">
        <f t="shared" si="0"/>
        <v>4.1999999999999993</v>
      </c>
      <c r="J27" s="99"/>
    </row>
    <row r="28" spans="1:10" x14ac:dyDescent="0.2">
      <c r="A28" s="434">
        <v>6</v>
      </c>
      <c r="B28" s="277" t="s">
        <v>236</v>
      </c>
      <c r="C28" s="277" t="s">
        <v>247</v>
      </c>
      <c r="D28" s="435">
        <v>5</v>
      </c>
      <c r="E28" s="436">
        <v>1</v>
      </c>
      <c r="F28" s="102">
        <f t="shared" si="1"/>
        <v>5</v>
      </c>
      <c r="G28" s="442"/>
      <c r="H28" s="445">
        <v>7.25</v>
      </c>
      <c r="I28" s="133">
        <f t="shared" si="0"/>
        <v>36.25</v>
      </c>
      <c r="J28" s="99"/>
    </row>
    <row r="29" spans="1:10" x14ac:dyDescent="0.2">
      <c r="A29" s="434"/>
      <c r="B29" s="277"/>
      <c r="C29" s="277" t="s">
        <v>249</v>
      </c>
      <c r="D29" s="435">
        <v>1</v>
      </c>
      <c r="E29" s="436">
        <v>1</v>
      </c>
      <c r="F29" s="102">
        <f t="shared" si="1"/>
        <v>1</v>
      </c>
      <c r="G29" s="442"/>
      <c r="H29" s="445">
        <v>10</v>
      </c>
      <c r="I29" s="133">
        <f t="shared" si="0"/>
        <v>10</v>
      </c>
      <c r="J29" s="99"/>
    </row>
    <row r="30" spans="1:10" x14ac:dyDescent="0.2">
      <c r="A30" s="490"/>
      <c r="B30" s="491"/>
      <c r="C30" s="491" t="s">
        <v>233</v>
      </c>
      <c r="D30" s="492">
        <v>3</v>
      </c>
      <c r="E30" s="493">
        <v>1</v>
      </c>
      <c r="F30" s="494">
        <f t="shared" si="1"/>
        <v>3</v>
      </c>
      <c r="G30" s="495"/>
      <c r="H30" s="496">
        <v>1.4</v>
      </c>
      <c r="I30" s="134">
        <f t="shared" si="0"/>
        <v>4.1999999999999993</v>
      </c>
      <c r="J30" s="99"/>
    </row>
    <row r="31" spans="1:10" x14ac:dyDescent="0.2">
      <c r="A31" s="434">
        <v>7</v>
      </c>
      <c r="B31" s="277" t="s">
        <v>250</v>
      </c>
      <c r="C31" s="277" t="s">
        <v>251</v>
      </c>
      <c r="D31" s="435">
        <v>5</v>
      </c>
      <c r="E31" s="436">
        <v>1</v>
      </c>
      <c r="F31" s="102">
        <f t="shared" si="1"/>
        <v>5</v>
      </c>
      <c r="G31" s="442"/>
      <c r="H31" s="445">
        <v>12.4</v>
      </c>
      <c r="I31" s="133">
        <f t="shared" si="0"/>
        <v>62</v>
      </c>
      <c r="J31" s="99"/>
    </row>
    <row r="32" spans="1:10" x14ac:dyDescent="0.2">
      <c r="A32" s="490"/>
      <c r="B32" s="491"/>
      <c r="C32" s="491" t="s">
        <v>249</v>
      </c>
      <c r="D32" s="492">
        <v>1</v>
      </c>
      <c r="E32" s="493">
        <v>1</v>
      </c>
      <c r="F32" s="494">
        <f t="shared" si="1"/>
        <v>1</v>
      </c>
      <c r="G32" s="495"/>
      <c r="H32" s="496">
        <v>10</v>
      </c>
      <c r="I32" s="134">
        <f t="shared" si="0"/>
        <v>10</v>
      </c>
      <c r="J32" s="99"/>
    </row>
    <row r="33" spans="1:10" x14ac:dyDescent="0.2">
      <c r="A33" s="434">
        <v>1</v>
      </c>
      <c r="B33" s="277" t="s">
        <v>36</v>
      </c>
      <c r="C33" s="277" t="s">
        <v>253</v>
      </c>
      <c r="D33" s="435">
        <v>3.75</v>
      </c>
      <c r="E33" s="436">
        <v>1</v>
      </c>
      <c r="F33" s="102">
        <f t="shared" si="1"/>
        <v>3.75</v>
      </c>
      <c r="G33" s="442"/>
      <c r="H33" s="445">
        <v>10.199999999999999</v>
      </c>
      <c r="I33" s="133">
        <f t="shared" si="0"/>
        <v>38.25</v>
      </c>
      <c r="J33" s="99"/>
    </row>
    <row r="34" spans="1:10" x14ac:dyDescent="0.2">
      <c r="A34" s="434"/>
      <c r="B34" s="277"/>
      <c r="C34" s="277" t="s">
        <v>241</v>
      </c>
      <c r="D34" s="435">
        <v>3.5</v>
      </c>
      <c r="E34" s="436">
        <v>1</v>
      </c>
      <c r="F34" s="102">
        <f t="shared" si="1"/>
        <v>3.5</v>
      </c>
      <c r="G34" s="442"/>
      <c r="H34" s="445">
        <v>16.350000000000001</v>
      </c>
      <c r="I34" s="133">
        <f t="shared" si="0"/>
        <v>57.225000000000009</v>
      </c>
      <c r="J34" s="99"/>
    </row>
    <row r="35" spans="1:10" x14ac:dyDescent="0.2">
      <c r="A35" s="490"/>
      <c r="B35" s="491"/>
      <c r="C35" s="491" t="s">
        <v>242</v>
      </c>
      <c r="D35" s="492">
        <v>0.5</v>
      </c>
      <c r="E35" s="493">
        <v>1</v>
      </c>
      <c r="F35" s="494">
        <f t="shared" si="1"/>
        <v>0.5</v>
      </c>
      <c r="G35" s="495"/>
      <c r="H35" s="496">
        <v>188.2</v>
      </c>
      <c r="I35" s="134">
        <f t="shared" si="0"/>
        <v>94.1</v>
      </c>
      <c r="J35" s="99"/>
    </row>
    <row r="36" spans="1:10" x14ac:dyDescent="0.2">
      <c r="A36" s="434">
        <v>2</v>
      </c>
      <c r="B36" s="277" t="s">
        <v>37</v>
      </c>
      <c r="C36" s="277" t="s">
        <v>254</v>
      </c>
      <c r="D36" s="435">
        <v>0.8</v>
      </c>
      <c r="E36" s="436">
        <v>1</v>
      </c>
      <c r="F36" s="102">
        <f t="shared" si="1"/>
        <v>0.8</v>
      </c>
      <c r="G36" s="442"/>
      <c r="H36" s="445">
        <v>56.75</v>
      </c>
      <c r="I36" s="133">
        <f t="shared" si="0"/>
        <v>45.400000000000006</v>
      </c>
      <c r="J36" s="99"/>
    </row>
    <row r="37" spans="1:10" x14ac:dyDescent="0.2">
      <c r="A37" s="490"/>
      <c r="B37" s="491"/>
      <c r="C37" s="491" t="s">
        <v>243</v>
      </c>
      <c r="D37" s="492">
        <v>2</v>
      </c>
      <c r="E37" s="493">
        <v>1</v>
      </c>
      <c r="F37" s="494">
        <f t="shared" si="1"/>
        <v>2</v>
      </c>
      <c r="G37" s="495"/>
      <c r="H37" s="496"/>
      <c r="I37" s="134">
        <f t="shared" si="0"/>
        <v>0</v>
      </c>
      <c r="J37" s="99"/>
    </row>
    <row r="38" spans="1:10" x14ac:dyDescent="0.2">
      <c r="A38" s="434">
        <v>3</v>
      </c>
      <c r="B38" s="277" t="s">
        <v>252</v>
      </c>
      <c r="C38" s="277" t="s">
        <v>254</v>
      </c>
      <c r="D38" s="435">
        <v>0.8</v>
      </c>
      <c r="E38" s="436">
        <v>1</v>
      </c>
      <c r="F38" s="102">
        <f t="shared" si="1"/>
        <v>0.8</v>
      </c>
      <c r="G38" s="442"/>
      <c r="H38" s="445">
        <v>56.75</v>
      </c>
      <c r="I38" s="133">
        <f t="shared" si="0"/>
        <v>45.400000000000006</v>
      </c>
      <c r="J38" s="99"/>
    </row>
    <row r="39" spans="1:10" x14ac:dyDescent="0.2">
      <c r="A39" s="490"/>
      <c r="B39" s="491"/>
      <c r="C39" s="491" t="s">
        <v>243</v>
      </c>
      <c r="D39" s="492">
        <v>2</v>
      </c>
      <c r="E39" s="493">
        <v>1</v>
      </c>
      <c r="F39" s="494">
        <f t="shared" si="1"/>
        <v>2</v>
      </c>
      <c r="G39" s="495"/>
      <c r="H39" s="496"/>
      <c r="I39" s="134">
        <f t="shared" si="0"/>
        <v>0</v>
      </c>
      <c r="J39" s="99"/>
    </row>
    <row r="40" spans="1:10" x14ac:dyDescent="0.2">
      <c r="A40" s="434"/>
      <c r="B40" s="277"/>
      <c r="C40" s="277"/>
      <c r="D40" s="435"/>
      <c r="E40" s="436"/>
      <c r="F40" s="102">
        <f t="shared" si="1"/>
        <v>0</v>
      </c>
      <c r="G40" s="442"/>
      <c r="H40" s="445"/>
      <c r="I40" s="133">
        <f t="shared" si="0"/>
        <v>0</v>
      </c>
      <c r="J40" s="99"/>
    </row>
    <row r="41" spans="1:10" x14ac:dyDescent="0.2">
      <c r="A41" s="434"/>
      <c r="B41" s="277"/>
      <c r="C41" s="277"/>
      <c r="D41" s="435"/>
      <c r="E41" s="436"/>
      <c r="F41" s="102">
        <f t="shared" si="1"/>
        <v>0</v>
      </c>
      <c r="G41" s="442"/>
      <c r="H41" s="445"/>
      <c r="I41" s="133">
        <f t="shared" si="0"/>
        <v>0</v>
      </c>
      <c r="J41" s="99"/>
    </row>
    <row r="42" spans="1:10" x14ac:dyDescent="0.2">
      <c r="A42" s="434"/>
      <c r="B42" s="277"/>
      <c r="C42" s="277"/>
      <c r="D42" s="435"/>
      <c r="E42" s="436"/>
      <c r="F42" s="102">
        <f t="shared" si="1"/>
        <v>0</v>
      </c>
      <c r="G42" s="442"/>
      <c r="H42" s="445"/>
      <c r="I42" s="133">
        <f t="shared" si="0"/>
        <v>0</v>
      </c>
      <c r="J42" s="99"/>
    </row>
    <row r="43" spans="1:10" x14ac:dyDescent="0.2">
      <c r="A43" s="434"/>
      <c r="B43" s="277"/>
      <c r="C43" s="277"/>
      <c r="D43" s="435"/>
      <c r="E43" s="436"/>
      <c r="F43" s="102">
        <f t="shared" si="1"/>
        <v>0</v>
      </c>
      <c r="G43" s="442"/>
      <c r="H43" s="445"/>
      <c r="I43" s="133">
        <f t="shared" si="0"/>
        <v>0</v>
      </c>
      <c r="J43" s="99"/>
    </row>
    <row r="44" spans="1:10" x14ac:dyDescent="0.2">
      <c r="A44" s="434"/>
      <c r="B44" s="277"/>
      <c r="C44" s="277"/>
      <c r="D44" s="435"/>
      <c r="E44" s="436"/>
      <c r="F44" s="102">
        <f t="shared" si="1"/>
        <v>0</v>
      </c>
      <c r="G44" s="442"/>
      <c r="H44" s="445"/>
      <c r="I44" s="133">
        <f t="shared" ref="I44:I49" si="2">F44*H44</f>
        <v>0</v>
      </c>
      <c r="J44" s="99"/>
    </row>
    <row r="45" spans="1:10" x14ac:dyDescent="0.2">
      <c r="A45" s="434"/>
      <c r="B45" s="277"/>
      <c r="C45" s="277"/>
      <c r="D45" s="435"/>
      <c r="E45" s="436"/>
      <c r="F45" s="102">
        <f t="shared" si="1"/>
        <v>0</v>
      </c>
      <c r="G45" s="442"/>
      <c r="H45" s="445"/>
      <c r="I45" s="133">
        <f t="shared" si="2"/>
        <v>0</v>
      </c>
      <c r="J45" s="99"/>
    </row>
    <row r="46" spans="1:10" x14ac:dyDescent="0.2">
      <c r="A46" s="434"/>
      <c r="B46" s="277"/>
      <c r="C46" s="277"/>
      <c r="D46" s="435"/>
      <c r="E46" s="436"/>
      <c r="F46" s="102">
        <f t="shared" si="1"/>
        <v>0</v>
      </c>
      <c r="G46" s="442"/>
      <c r="H46" s="445"/>
      <c r="I46" s="133">
        <f t="shared" si="2"/>
        <v>0</v>
      </c>
      <c r="J46" s="99"/>
    </row>
    <row r="47" spans="1:10" x14ac:dyDescent="0.2">
      <c r="A47" s="434"/>
      <c r="B47" s="277"/>
      <c r="C47" s="277"/>
      <c r="D47" s="435"/>
      <c r="E47" s="436"/>
      <c r="F47" s="102">
        <f t="shared" si="1"/>
        <v>0</v>
      </c>
      <c r="G47" s="442"/>
      <c r="H47" s="445"/>
      <c r="I47" s="133">
        <f t="shared" si="2"/>
        <v>0</v>
      </c>
      <c r="J47" s="99"/>
    </row>
    <row r="48" spans="1:10" x14ac:dyDescent="0.2">
      <c r="A48" s="434"/>
      <c r="B48" s="277"/>
      <c r="C48" s="277"/>
      <c r="D48" s="435"/>
      <c r="E48" s="436"/>
      <c r="F48" s="102">
        <f t="shared" si="1"/>
        <v>0</v>
      </c>
      <c r="G48" s="442"/>
      <c r="H48" s="445"/>
      <c r="I48" s="133">
        <f t="shared" si="2"/>
        <v>0</v>
      </c>
      <c r="J48" s="99"/>
    </row>
    <row r="49" spans="1:10" ht="15" thickBot="1" x14ac:dyDescent="0.25">
      <c r="A49" s="434"/>
      <c r="B49" s="277"/>
      <c r="C49" s="277"/>
      <c r="D49" s="435"/>
      <c r="E49" s="436"/>
      <c r="F49" s="102">
        <f t="shared" si="1"/>
        <v>0</v>
      </c>
      <c r="G49" s="442"/>
      <c r="H49" s="445"/>
      <c r="I49" s="134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69"/>
      <c r="I50" s="136">
        <f>SUM(I14:I49)</f>
        <v>869.19499999999994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71" t="s">
        <v>179</v>
      </c>
    </row>
    <row r="54" spans="1:10" ht="15.75" x14ac:dyDescent="0.3">
      <c r="A54" s="471" t="s">
        <v>217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Rote Johannisbeeren, Rovada, 3-Ast-Hecke, Bodenkultur</v>
      </c>
      <c r="E57" s="11"/>
      <c r="F57" s="11"/>
      <c r="G57" s="11"/>
      <c r="I57" s="99"/>
      <c r="J57" s="99"/>
    </row>
    <row r="58" spans="1:10" ht="15" x14ac:dyDescent="0.25">
      <c r="D58" s="11">
        <f>'Deckungsbeitrag Arbeitsgänge'!B48</f>
        <v>0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31">
        <v>1</v>
      </c>
      <c r="B65" s="291" t="s">
        <v>37</v>
      </c>
      <c r="C65" s="291" t="s">
        <v>244</v>
      </c>
      <c r="D65" s="432">
        <v>1</v>
      </c>
      <c r="E65" s="433">
        <v>1</v>
      </c>
      <c r="F65" s="101">
        <f>D65*E65</f>
        <v>1</v>
      </c>
      <c r="G65" s="441"/>
      <c r="H65" s="444">
        <v>49.36</v>
      </c>
      <c r="I65" s="175">
        <f t="shared" ref="I65:I100" si="3">F65*H65</f>
        <v>49.36</v>
      </c>
    </row>
    <row r="66" spans="1:9" x14ac:dyDescent="0.2">
      <c r="A66" s="434"/>
      <c r="B66" s="277"/>
      <c r="C66" s="277" t="s">
        <v>245</v>
      </c>
      <c r="D66" s="435">
        <v>5</v>
      </c>
      <c r="E66" s="436">
        <v>1</v>
      </c>
      <c r="F66" s="102">
        <f t="shared" ref="F66:F100" si="4">D66*E66</f>
        <v>5</v>
      </c>
      <c r="G66" s="442"/>
      <c r="H66" s="445">
        <v>1.45</v>
      </c>
      <c r="I66" s="176">
        <f t="shared" si="3"/>
        <v>7.25</v>
      </c>
    </row>
    <row r="67" spans="1:9" x14ac:dyDescent="0.2">
      <c r="A67" s="490"/>
      <c r="B67" s="491"/>
      <c r="C67" s="491" t="s">
        <v>246</v>
      </c>
      <c r="D67" s="492">
        <v>20</v>
      </c>
      <c r="E67" s="493">
        <v>1</v>
      </c>
      <c r="F67" s="494">
        <f t="shared" si="4"/>
        <v>20</v>
      </c>
      <c r="G67" s="495"/>
      <c r="H67" s="496">
        <v>2.8</v>
      </c>
      <c r="I67" s="497">
        <f t="shared" si="3"/>
        <v>56</v>
      </c>
    </row>
    <row r="68" spans="1:9" x14ac:dyDescent="0.2">
      <c r="A68" s="434">
        <v>2</v>
      </c>
      <c r="B68" s="277" t="s">
        <v>37</v>
      </c>
      <c r="C68" s="277" t="s">
        <v>247</v>
      </c>
      <c r="D68" s="435">
        <v>2</v>
      </c>
      <c r="E68" s="436">
        <v>1</v>
      </c>
      <c r="F68" s="102">
        <f t="shared" si="4"/>
        <v>2</v>
      </c>
      <c r="G68" s="442"/>
      <c r="H68" s="445">
        <v>7.25</v>
      </c>
      <c r="I68" s="176">
        <f t="shared" si="3"/>
        <v>14.5</v>
      </c>
    </row>
    <row r="69" spans="1:9" x14ac:dyDescent="0.2">
      <c r="A69" s="434"/>
      <c r="B69" s="277"/>
      <c r="C69" s="277" t="s">
        <v>248</v>
      </c>
      <c r="D69" s="435">
        <v>1</v>
      </c>
      <c r="E69" s="436">
        <v>1</v>
      </c>
      <c r="F69" s="102">
        <f t="shared" si="4"/>
        <v>1</v>
      </c>
      <c r="G69" s="442"/>
      <c r="H69" s="445">
        <v>95.27</v>
      </c>
      <c r="I69" s="176">
        <f t="shared" si="3"/>
        <v>95.27</v>
      </c>
    </row>
    <row r="70" spans="1:9" x14ac:dyDescent="0.2">
      <c r="A70" s="434"/>
      <c r="B70" s="277"/>
      <c r="C70" s="277" t="s">
        <v>234</v>
      </c>
      <c r="D70" s="435">
        <v>0.5</v>
      </c>
      <c r="E70" s="436">
        <v>1</v>
      </c>
      <c r="F70" s="102">
        <f t="shared" si="4"/>
        <v>0.5</v>
      </c>
      <c r="G70" s="442"/>
      <c r="H70" s="445">
        <v>49.2</v>
      </c>
      <c r="I70" s="176">
        <f t="shared" si="3"/>
        <v>24.6</v>
      </c>
    </row>
    <row r="71" spans="1:9" x14ac:dyDescent="0.2">
      <c r="A71" s="490"/>
      <c r="B71" s="491"/>
      <c r="C71" s="491" t="s">
        <v>233</v>
      </c>
      <c r="D71" s="492">
        <v>3</v>
      </c>
      <c r="E71" s="493">
        <v>1</v>
      </c>
      <c r="F71" s="494">
        <f t="shared" si="4"/>
        <v>3</v>
      </c>
      <c r="G71" s="495"/>
      <c r="H71" s="496">
        <v>1.4</v>
      </c>
      <c r="I71" s="497">
        <f t="shared" si="3"/>
        <v>4.1999999999999993</v>
      </c>
    </row>
    <row r="72" spans="1:9" x14ac:dyDescent="0.2">
      <c r="A72" s="434">
        <v>3</v>
      </c>
      <c r="B72" s="277" t="s">
        <v>38</v>
      </c>
      <c r="C72" s="277" t="s">
        <v>232</v>
      </c>
      <c r="D72" s="435">
        <v>0.2</v>
      </c>
      <c r="E72" s="436">
        <v>1</v>
      </c>
      <c r="F72" s="102">
        <f t="shared" si="4"/>
        <v>0.2</v>
      </c>
      <c r="G72" s="442"/>
      <c r="H72" s="445">
        <v>144.9</v>
      </c>
      <c r="I72" s="176">
        <f t="shared" si="3"/>
        <v>28.980000000000004</v>
      </c>
    </row>
    <row r="73" spans="1:9" x14ac:dyDescent="0.2">
      <c r="A73" s="490"/>
      <c r="B73" s="491"/>
      <c r="C73" s="491" t="s">
        <v>233</v>
      </c>
      <c r="D73" s="492">
        <v>3</v>
      </c>
      <c r="E73" s="493">
        <v>1</v>
      </c>
      <c r="F73" s="494">
        <f t="shared" si="4"/>
        <v>3</v>
      </c>
      <c r="G73" s="495"/>
      <c r="H73" s="496">
        <v>1.4</v>
      </c>
      <c r="I73" s="497">
        <f t="shared" si="3"/>
        <v>4.1999999999999993</v>
      </c>
    </row>
    <row r="74" spans="1:9" x14ac:dyDescent="0.2">
      <c r="A74" s="434">
        <v>4</v>
      </c>
      <c r="B74" s="277" t="s">
        <v>38</v>
      </c>
      <c r="C74" s="277" t="s">
        <v>232</v>
      </c>
      <c r="D74" s="435">
        <v>0.2</v>
      </c>
      <c r="E74" s="436">
        <v>1</v>
      </c>
      <c r="F74" s="102">
        <f t="shared" si="4"/>
        <v>0.2</v>
      </c>
      <c r="G74" s="442"/>
      <c r="H74" s="445">
        <v>144.9</v>
      </c>
      <c r="I74" s="176">
        <f t="shared" si="3"/>
        <v>28.980000000000004</v>
      </c>
    </row>
    <row r="75" spans="1:9" x14ac:dyDescent="0.2">
      <c r="A75" s="490"/>
      <c r="B75" s="491"/>
      <c r="C75" s="491" t="s">
        <v>233</v>
      </c>
      <c r="D75" s="492">
        <v>3</v>
      </c>
      <c r="E75" s="493">
        <v>1</v>
      </c>
      <c r="F75" s="494">
        <f t="shared" si="4"/>
        <v>3</v>
      </c>
      <c r="G75" s="495"/>
      <c r="H75" s="496">
        <v>1.4</v>
      </c>
      <c r="I75" s="497">
        <f t="shared" si="3"/>
        <v>4.1999999999999993</v>
      </c>
    </row>
    <row r="76" spans="1:9" x14ac:dyDescent="0.2">
      <c r="A76" s="434">
        <v>5</v>
      </c>
      <c r="B76" s="277" t="s">
        <v>39</v>
      </c>
      <c r="C76" s="277" t="s">
        <v>244</v>
      </c>
      <c r="D76" s="435">
        <v>1</v>
      </c>
      <c r="E76" s="436">
        <v>1</v>
      </c>
      <c r="F76" s="102">
        <f t="shared" si="4"/>
        <v>1</v>
      </c>
      <c r="G76" s="442"/>
      <c r="H76" s="445">
        <v>49.36</v>
      </c>
      <c r="I76" s="176">
        <f t="shared" si="3"/>
        <v>49.36</v>
      </c>
    </row>
    <row r="77" spans="1:9" x14ac:dyDescent="0.2">
      <c r="A77" s="434"/>
      <c r="B77" s="277"/>
      <c r="C77" s="277" t="s">
        <v>248</v>
      </c>
      <c r="D77" s="435">
        <v>1</v>
      </c>
      <c r="E77" s="436">
        <v>1</v>
      </c>
      <c r="F77" s="102">
        <f t="shared" si="4"/>
        <v>1</v>
      </c>
      <c r="G77" s="442"/>
      <c r="H77" s="445">
        <v>95.27</v>
      </c>
      <c r="I77" s="176">
        <f t="shared" si="3"/>
        <v>95.27</v>
      </c>
    </row>
    <row r="78" spans="1:9" x14ac:dyDescent="0.2">
      <c r="A78" s="490"/>
      <c r="B78" s="491"/>
      <c r="C78" s="491" t="s">
        <v>233</v>
      </c>
      <c r="D78" s="492">
        <v>3</v>
      </c>
      <c r="E78" s="493">
        <v>1</v>
      </c>
      <c r="F78" s="494">
        <f t="shared" si="4"/>
        <v>3</v>
      </c>
      <c r="G78" s="495"/>
      <c r="H78" s="496">
        <v>1.4</v>
      </c>
      <c r="I78" s="497">
        <f t="shared" si="3"/>
        <v>4.1999999999999993</v>
      </c>
    </row>
    <row r="79" spans="1:9" x14ac:dyDescent="0.2">
      <c r="A79" s="434">
        <v>6</v>
      </c>
      <c r="B79" s="277" t="s">
        <v>236</v>
      </c>
      <c r="C79" s="277" t="s">
        <v>247</v>
      </c>
      <c r="D79" s="435">
        <v>2</v>
      </c>
      <c r="E79" s="436">
        <v>1</v>
      </c>
      <c r="F79" s="102">
        <f t="shared" si="4"/>
        <v>2</v>
      </c>
      <c r="G79" s="442"/>
      <c r="H79" s="445">
        <v>7.25</v>
      </c>
      <c r="I79" s="176">
        <f t="shared" si="3"/>
        <v>14.5</v>
      </c>
    </row>
    <row r="80" spans="1:9" x14ac:dyDescent="0.2">
      <c r="A80" s="434"/>
      <c r="B80" s="277"/>
      <c r="C80" s="277" t="s">
        <v>249</v>
      </c>
      <c r="D80" s="435">
        <v>1</v>
      </c>
      <c r="E80" s="436">
        <v>1</v>
      </c>
      <c r="F80" s="102">
        <f t="shared" si="4"/>
        <v>1</v>
      </c>
      <c r="G80" s="442"/>
      <c r="H80" s="445">
        <v>10</v>
      </c>
      <c r="I80" s="176">
        <f t="shared" si="3"/>
        <v>10</v>
      </c>
    </row>
    <row r="81" spans="1:9" x14ac:dyDescent="0.2">
      <c r="A81" s="490"/>
      <c r="B81" s="491"/>
      <c r="C81" s="491" t="s">
        <v>233</v>
      </c>
      <c r="D81" s="492">
        <v>3</v>
      </c>
      <c r="E81" s="493">
        <v>1</v>
      </c>
      <c r="F81" s="494">
        <f t="shared" si="4"/>
        <v>3</v>
      </c>
      <c r="G81" s="495"/>
      <c r="H81" s="496">
        <v>1.4</v>
      </c>
      <c r="I81" s="497">
        <f t="shared" si="3"/>
        <v>4.1999999999999993</v>
      </c>
    </row>
    <row r="82" spans="1:9" x14ac:dyDescent="0.2">
      <c r="A82" s="434">
        <v>7</v>
      </c>
      <c r="B82" s="277" t="s">
        <v>250</v>
      </c>
      <c r="C82" s="277" t="s">
        <v>251</v>
      </c>
      <c r="D82" s="435">
        <v>5</v>
      </c>
      <c r="E82" s="436">
        <v>1</v>
      </c>
      <c r="F82" s="102">
        <f t="shared" si="4"/>
        <v>5</v>
      </c>
      <c r="G82" s="442"/>
      <c r="H82" s="445">
        <v>12.4</v>
      </c>
      <c r="I82" s="176">
        <f t="shared" si="3"/>
        <v>62</v>
      </c>
    </row>
    <row r="83" spans="1:9" x14ac:dyDescent="0.2">
      <c r="A83" s="490"/>
      <c r="B83" s="491"/>
      <c r="C83" s="491" t="s">
        <v>249</v>
      </c>
      <c r="D83" s="492">
        <v>1</v>
      </c>
      <c r="E83" s="493">
        <v>1</v>
      </c>
      <c r="F83" s="494">
        <f t="shared" si="4"/>
        <v>1</v>
      </c>
      <c r="G83" s="495"/>
      <c r="H83" s="496">
        <v>10</v>
      </c>
      <c r="I83" s="497">
        <f t="shared" si="3"/>
        <v>10</v>
      </c>
    </row>
    <row r="84" spans="1:9" x14ac:dyDescent="0.2">
      <c r="A84" s="434">
        <v>1</v>
      </c>
      <c r="B84" s="277" t="s">
        <v>36</v>
      </c>
      <c r="C84" s="277" t="s">
        <v>253</v>
      </c>
      <c r="D84" s="435">
        <v>3.75</v>
      </c>
      <c r="E84" s="436">
        <v>1</v>
      </c>
      <c r="F84" s="102">
        <f t="shared" si="4"/>
        <v>3.75</v>
      </c>
      <c r="G84" s="442"/>
      <c r="H84" s="445">
        <v>10.199999999999999</v>
      </c>
      <c r="I84" s="176">
        <f t="shared" si="3"/>
        <v>38.25</v>
      </c>
    </row>
    <row r="85" spans="1:9" x14ac:dyDescent="0.2">
      <c r="A85" s="434"/>
      <c r="B85" s="277"/>
      <c r="C85" s="277" t="s">
        <v>241</v>
      </c>
      <c r="D85" s="435">
        <v>3.5</v>
      </c>
      <c r="E85" s="436">
        <v>1</v>
      </c>
      <c r="F85" s="102">
        <f t="shared" si="4"/>
        <v>3.5</v>
      </c>
      <c r="G85" s="442"/>
      <c r="H85" s="445">
        <v>16.350000000000001</v>
      </c>
      <c r="I85" s="176">
        <f t="shared" si="3"/>
        <v>57.225000000000009</v>
      </c>
    </row>
    <row r="86" spans="1:9" x14ac:dyDescent="0.2">
      <c r="A86" s="490"/>
      <c r="B86" s="491"/>
      <c r="C86" s="491" t="s">
        <v>242</v>
      </c>
      <c r="D86" s="492">
        <v>0.5</v>
      </c>
      <c r="E86" s="493">
        <v>1</v>
      </c>
      <c r="F86" s="494">
        <f t="shared" si="4"/>
        <v>0.5</v>
      </c>
      <c r="G86" s="495"/>
      <c r="H86" s="496">
        <v>188.2</v>
      </c>
      <c r="I86" s="497">
        <f t="shared" si="3"/>
        <v>94.1</v>
      </c>
    </row>
    <row r="87" spans="1:9" x14ac:dyDescent="0.2">
      <c r="A87" s="434">
        <v>2</v>
      </c>
      <c r="B87" s="277" t="s">
        <v>252</v>
      </c>
      <c r="C87" s="277" t="s">
        <v>240</v>
      </c>
      <c r="D87" s="435">
        <v>0.8</v>
      </c>
      <c r="E87" s="436">
        <v>1</v>
      </c>
      <c r="F87" s="102">
        <f t="shared" si="4"/>
        <v>0.8</v>
      </c>
      <c r="G87" s="442"/>
      <c r="H87" s="445">
        <v>56.75</v>
      </c>
      <c r="I87" s="176">
        <f t="shared" si="3"/>
        <v>45.400000000000006</v>
      </c>
    </row>
    <row r="88" spans="1:9" x14ac:dyDescent="0.2">
      <c r="A88" s="490"/>
      <c r="B88" s="491"/>
      <c r="C88" s="491" t="s">
        <v>243</v>
      </c>
      <c r="D88" s="492">
        <v>2</v>
      </c>
      <c r="E88" s="493">
        <v>1</v>
      </c>
      <c r="F88" s="494">
        <f t="shared" si="4"/>
        <v>2</v>
      </c>
      <c r="G88" s="495"/>
      <c r="H88" s="496"/>
      <c r="I88" s="497">
        <f t="shared" si="3"/>
        <v>0</v>
      </c>
    </row>
    <row r="89" spans="1:9" x14ac:dyDescent="0.2">
      <c r="A89" s="434"/>
      <c r="B89" s="277"/>
      <c r="C89" s="277"/>
      <c r="D89" s="435"/>
      <c r="E89" s="436"/>
      <c r="F89" s="102">
        <f t="shared" si="4"/>
        <v>0</v>
      </c>
      <c r="G89" s="442"/>
      <c r="H89" s="445"/>
      <c r="I89" s="176">
        <f t="shared" si="3"/>
        <v>0</v>
      </c>
    </row>
    <row r="90" spans="1:9" x14ac:dyDescent="0.2">
      <c r="A90" s="434"/>
      <c r="B90" s="277"/>
      <c r="C90" s="277"/>
      <c r="D90" s="435"/>
      <c r="E90" s="436"/>
      <c r="F90" s="102">
        <f t="shared" si="4"/>
        <v>0</v>
      </c>
      <c r="G90" s="442"/>
      <c r="H90" s="445"/>
      <c r="I90" s="176">
        <f t="shared" si="3"/>
        <v>0</v>
      </c>
    </row>
    <row r="91" spans="1:9" x14ac:dyDescent="0.2">
      <c r="A91" s="434"/>
      <c r="B91" s="277"/>
      <c r="C91" s="277"/>
      <c r="D91" s="435"/>
      <c r="E91" s="436"/>
      <c r="F91" s="102">
        <f t="shared" si="4"/>
        <v>0</v>
      </c>
      <c r="G91" s="442"/>
      <c r="H91" s="445"/>
      <c r="I91" s="176">
        <f t="shared" si="3"/>
        <v>0</v>
      </c>
    </row>
    <row r="92" spans="1:9" x14ac:dyDescent="0.2">
      <c r="A92" s="434"/>
      <c r="B92" s="277"/>
      <c r="C92" s="277"/>
      <c r="D92" s="435"/>
      <c r="E92" s="436"/>
      <c r="F92" s="102">
        <f t="shared" si="4"/>
        <v>0</v>
      </c>
      <c r="G92" s="442"/>
      <c r="H92" s="445"/>
      <c r="I92" s="176">
        <f t="shared" si="3"/>
        <v>0</v>
      </c>
    </row>
    <row r="93" spans="1:9" x14ac:dyDescent="0.2">
      <c r="A93" s="434"/>
      <c r="B93" s="277"/>
      <c r="C93" s="277"/>
      <c r="D93" s="435"/>
      <c r="E93" s="436"/>
      <c r="F93" s="102">
        <f t="shared" si="4"/>
        <v>0</v>
      </c>
      <c r="G93" s="442"/>
      <c r="H93" s="445"/>
      <c r="I93" s="176">
        <f t="shared" si="3"/>
        <v>0</v>
      </c>
    </row>
    <row r="94" spans="1:9" x14ac:dyDescent="0.2">
      <c r="A94" s="434"/>
      <c r="B94" s="277"/>
      <c r="C94" s="277"/>
      <c r="D94" s="435"/>
      <c r="E94" s="436"/>
      <c r="F94" s="102">
        <f t="shared" si="4"/>
        <v>0</v>
      </c>
      <c r="G94" s="442"/>
      <c r="H94" s="445"/>
      <c r="I94" s="176">
        <f t="shared" si="3"/>
        <v>0</v>
      </c>
    </row>
    <row r="95" spans="1:9" x14ac:dyDescent="0.2">
      <c r="A95" s="434"/>
      <c r="B95" s="277"/>
      <c r="C95" s="277"/>
      <c r="D95" s="435"/>
      <c r="E95" s="436"/>
      <c r="F95" s="102">
        <f t="shared" si="4"/>
        <v>0</v>
      </c>
      <c r="G95" s="442"/>
      <c r="H95" s="445"/>
      <c r="I95" s="176">
        <f t="shared" si="3"/>
        <v>0</v>
      </c>
    </row>
    <row r="96" spans="1:9" x14ac:dyDescent="0.2">
      <c r="A96" s="434"/>
      <c r="B96" s="277"/>
      <c r="C96" s="277"/>
      <c r="D96" s="435"/>
      <c r="E96" s="436"/>
      <c r="F96" s="102">
        <f t="shared" si="4"/>
        <v>0</v>
      </c>
      <c r="G96" s="442"/>
      <c r="H96" s="445"/>
      <c r="I96" s="176">
        <f t="shared" si="3"/>
        <v>0</v>
      </c>
    </row>
    <row r="97" spans="1:10" x14ac:dyDescent="0.2">
      <c r="A97" s="434"/>
      <c r="B97" s="277"/>
      <c r="C97" s="277"/>
      <c r="D97" s="435"/>
      <c r="E97" s="436"/>
      <c r="F97" s="102">
        <f t="shared" si="4"/>
        <v>0</v>
      </c>
      <c r="G97" s="442"/>
      <c r="H97" s="445"/>
      <c r="I97" s="176">
        <f t="shared" si="3"/>
        <v>0</v>
      </c>
    </row>
    <row r="98" spans="1:10" x14ac:dyDescent="0.2">
      <c r="A98" s="434"/>
      <c r="B98" s="277"/>
      <c r="C98" s="277"/>
      <c r="D98" s="435"/>
      <c r="E98" s="436"/>
      <c r="F98" s="102">
        <f t="shared" si="4"/>
        <v>0</v>
      </c>
      <c r="G98" s="442"/>
      <c r="H98" s="445"/>
      <c r="I98" s="176">
        <f t="shared" si="3"/>
        <v>0</v>
      </c>
    </row>
    <row r="99" spans="1:10" x14ac:dyDescent="0.2">
      <c r="A99" s="434"/>
      <c r="B99" s="277"/>
      <c r="C99" s="277"/>
      <c r="D99" s="435"/>
      <c r="E99" s="436"/>
      <c r="F99" s="102">
        <f t="shared" si="4"/>
        <v>0</v>
      </c>
      <c r="G99" s="442"/>
      <c r="H99" s="445"/>
      <c r="I99" s="176">
        <f t="shared" si="3"/>
        <v>0</v>
      </c>
    </row>
    <row r="100" spans="1:10" ht="15" thickBot="1" x14ac:dyDescent="0.25">
      <c r="A100" s="437"/>
      <c r="B100" s="438"/>
      <c r="C100" s="438"/>
      <c r="D100" s="439"/>
      <c r="E100" s="440"/>
      <c r="F100" s="102">
        <f t="shared" si="4"/>
        <v>0</v>
      </c>
      <c r="G100" s="443"/>
      <c r="H100" s="489"/>
      <c r="I100" s="177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3"/>
      <c r="I101" s="178">
        <f>SUM(I65:I100)</f>
        <v>802.04499999999996</v>
      </c>
    </row>
    <row r="107" spans="1:10" ht="15.75" x14ac:dyDescent="0.3">
      <c r="A107" s="471" t="s">
        <v>179</v>
      </c>
    </row>
    <row r="108" spans="1:10" ht="15.75" x14ac:dyDescent="0.3">
      <c r="A108" s="471" t="s">
        <v>217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 t="str">
        <f>'Deckungsbeitrag Arbeitsgänge'!B85</f>
        <v>Rote Johannisbeeren, Rovada, 3-Ast-Hecke, Bodenkultur</v>
      </c>
      <c r="E111" s="11"/>
      <c r="F111" s="11"/>
      <c r="G111" s="11"/>
      <c r="H111" s="100"/>
      <c r="I111" s="99"/>
      <c r="J111" s="99"/>
    </row>
    <row r="112" spans="1:10" ht="15" x14ac:dyDescent="0.25">
      <c r="D112" s="11">
        <f>'Deckungsbeitrag Arbeitsgänge'!B48</f>
        <v>0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31">
        <v>1</v>
      </c>
      <c r="B119" s="291" t="s">
        <v>38</v>
      </c>
      <c r="C119" s="291" t="s">
        <v>232</v>
      </c>
      <c r="D119" s="432">
        <v>0.2</v>
      </c>
      <c r="E119" s="433">
        <v>1</v>
      </c>
      <c r="F119" s="101">
        <f>D119*E119</f>
        <v>0.2</v>
      </c>
      <c r="G119" s="441"/>
      <c r="H119" s="444">
        <v>144.9</v>
      </c>
      <c r="I119" s="132">
        <f t="shared" ref="I119:I136" si="5">F119*H119</f>
        <v>28.980000000000004</v>
      </c>
    </row>
    <row r="120" spans="1:9" x14ac:dyDescent="0.2">
      <c r="A120" s="434"/>
      <c r="B120" s="277"/>
      <c r="C120" s="277" t="s">
        <v>233</v>
      </c>
      <c r="D120" s="435">
        <v>3</v>
      </c>
      <c r="E120" s="436">
        <v>1</v>
      </c>
      <c r="F120" s="102">
        <f t="shared" ref="F120:F136" si="6">D120*E120</f>
        <v>3</v>
      </c>
      <c r="G120" s="442"/>
      <c r="H120" s="445">
        <v>1.4</v>
      </c>
      <c r="I120" s="133">
        <f t="shared" si="5"/>
        <v>4.1999999999999993</v>
      </c>
    </row>
    <row r="121" spans="1:9" x14ac:dyDescent="0.2">
      <c r="A121" s="490"/>
      <c r="B121" s="491"/>
      <c r="C121" s="491" t="s">
        <v>234</v>
      </c>
      <c r="D121" s="492">
        <v>0.5</v>
      </c>
      <c r="E121" s="493">
        <v>1</v>
      </c>
      <c r="F121" s="494">
        <f t="shared" si="6"/>
        <v>0.5</v>
      </c>
      <c r="G121" s="495"/>
      <c r="H121" s="496">
        <v>49.2</v>
      </c>
      <c r="I121" s="134">
        <f t="shared" si="5"/>
        <v>24.6</v>
      </c>
    </row>
    <row r="122" spans="1:9" x14ac:dyDescent="0.2">
      <c r="A122" s="434">
        <v>2</v>
      </c>
      <c r="B122" s="277" t="s">
        <v>40</v>
      </c>
      <c r="C122" s="277" t="s">
        <v>235</v>
      </c>
      <c r="D122" s="435">
        <v>0.45</v>
      </c>
      <c r="E122" s="436">
        <v>1</v>
      </c>
      <c r="F122" s="102">
        <f t="shared" si="6"/>
        <v>0.45</v>
      </c>
      <c r="G122" s="442"/>
      <c r="H122" s="445">
        <v>49.2</v>
      </c>
      <c r="I122" s="133">
        <f t="shared" si="5"/>
        <v>22.14</v>
      </c>
    </row>
    <row r="123" spans="1:9" x14ac:dyDescent="0.2">
      <c r="A123" s="490"/>
      <c r="B123" s="491"/>
      <c r="C123" s="491" t="s">
        <v>233</v>
      </c>
      <c r="D123" s="492">
        <v>3</v>
      </c>
      <c r="E123" s="493">
        <v>1</v>
      </c>
      <c r="F123" s="494">
        <f t="shared" si="6"/>
        <v>3</v>
      </c>
      <c r="G123" s="495"/>
      <c r="H123" s="496">
        <v>1.4</v>
      </c>
      <c r="I123" s="134">
        <f t="shared" si="5"/>
        <v>4.1999999999999993</v>
      </c>
    </row>
    <row r="124" spans="1:9" x14ac:dyDescent="0.2">
      <c r="A124" s="434">
        <v>3</v>
      </c>
      <c r="B124" s="277" t="s">
        <v>236</v>
      </c>
      <c r="C124" s="277" t="s">
        <v>237</v>
      </c>
      <c r="D124" s="435">
        <v>10</v>
      </c>
      <c r="E124" s="436">
        <v>1</v>
      </c>
      <c r="F124" s="102">
        <f t="shared" si="6"/>
        <v>10</v>
      </c>
      <c r="G124" s="442"/>
      <c r="H124" s="445">
        <v>0.36</v>
      </c>
      <c r="I124" s="133">
        <f t="shared" si="5"/>
        <v>3.5999999999999996</v>
      </c>
    </row>
    <row r="125" spans="1:9" x14ac:dyDescent="0.2">
      <c r="A125" s="434"/>
      <c r="B125" s="277"/>
      <c r="C125" s="277" t="s">
        <v>238</v>
      </c>
      <c r="D125" s="435">
        <v>3</v>
      </c>
      <c r="E125" s="436">
        <v>1</v>
      </c>
      <c r="F125" s="102">
        <f t="shared" si="6"/>
        <v>3</v>
      </c>
      <c r="G125" s="442"/>
      <c r="H125" s="445">
        <v>5.36</v>
      </c>
      <c r="I125" s="133">
        <f t="shared" si="5"/>
        <v>16.080000000000002</v>
      </c>
    </row>
    <row r="126" spans="1:9" x14ac:dyDescent="0.2">
      <c r="A126" s="490"/>
      <c r="B126" s="491"/>
      <c r="C126" s="491" t="s">
        <v>239</v>
      </c>
      <c r="D126" s="492">
        <v>0.7</v>
      </c>
      <c r="E126" s="493">
        <v>1</v>
      </c>
      <c r="F126" s="494">
        <f t="shared" si="6"/>
        <v>0.7</v>
      </c>
      <c r="G126" s="495"/>
      <c r="H126" s="496">
        <v>37.950000000000003</v>
      </c>
      <c r="I126" s="134">
        <f t="shared" si="5"/>
        <v>26.565000000000001</v>
      </c>
    </row>
    <row r="127" spans="1:9" x14ac:dyDescent="0.2">
      <c r="A127" s="434">
        <v>1</v>
      </c>
      <c r="B127" s="277" t="s">
        <v>36</v>
      </c>
      <c r="C127" s="277" t="s">
        <v>240</v>
      </c>
      <c r="D127" s="435">
        <v>0.8</v>
      </c>
      <c r="E127" s="436">
        <v>1</v>
      </c>
      <c r="F127" s="102">
        <f t="shared" si="6"/>
        <v>0.8</v>
      </c>
      <c r="G127" s="442"/>
      <c r="H127" s="445">
        <v>56.75</v>
      </c>
      <c r="I127" s="133">
        <f t="shared" si="5"/>
        <v>45.400000000000006</v>
      </c>
    </row>
    <row r="128" spans="1:9" x14ac:dyDescent="0.2">
      <c r="A128" s="434"/>
      <c r="B128" s="277"/>
      <c r="C128" s="277" t="s">
        <v>243</v>
      </c>
      <c r="D128" s="435">
        <v>2</v>
      </c>
      <c r="E128" s="436">
        <v>1</v>
      </c>
      <c r="F128" s="102">
        <f t="shared" si="6"/>
        <v>2</v>
      </c>
      <c r="G128" s="442"/>
      <c r="H128" s="445"/>
      <c r="I128" s="133">
        <f t="shared" si="5"/>
        <v>0</v>
      </c>
    </row>
    <row r="129" spans="1:9" x14ac:dyDescent="0.2">
      <c r="A129" s="434"/>
      <c r="B129" s="277"/>
      <c r="C129" s="277" t="s">
        <v>241</v>
      </c>
      <c r="D129" s="435">
        <v>3.5</v>
      </c>
      <c r="E129" s="436">
        <v>1</v>
      </c>
      <c r="F129" s="102">
        <f t="shared" si="6"/>
        <v>3.5</v>
      </c>
      <c r="G129" s="442"/>
      <c r="H129" s="445">
        <v>16.350000000000001</v>
      </c>
      <c r="I129" s="133">
        <f t="shared" si="5"/>
        <v>57.225000000000009</v>
      </c>
    </row>
    <row r="130" spans="1:9" x14ac:dyDescent="0.2">
      <c r="A130" s="490"/>
      <c r="B130" s="491"/>
      <c r="C130" s="491" t="s">
        <v>242</v>
      </c>
      <c r="D130" s="492">
        <v>0.5</v>
      </c>
      <c r="E130" s="493">
        <v>1</v>
      </c>
      <c r="F130" s="494">
        <f t="shared" si="6"/>
        <v>0.5</v>
      </c>
      <c r="G130" s="495"/>
      <c r="H130" s="496">
        <v>188.2</v>
      </c>
      <c r="I130" s="134">
        <f t="shared" si="5"/>
        <v>94.1</v>
      </c>
    </row>
    <row r="131" spans="1:9" x14ac:dyDescent="0.2">
      <c r="A131" s="434"/>
      <c r="B131" s="277"/>
      <c r="C131" s="277"/>
      <c r="D131" s="435"/>
      <c r="E131" s="436"/>
      <c r="F131" s="102">
        <f t="shared" si="6"/>
        <v>0</v>
      </c>
      <c r="G131" s="442"/>
      <c r="H131" s="445"/>
      <c r="I131" s="133">
        <f t="shared" si="5"/>
        <v>0</v>
      </c>
    </row>
    <row r="132" spans="1:9" x14ac:dyDescent="0.2">
      <c r="A132" s="434"/>
      <c r="B132" s="277"/>
      <c r="C132" s="277"/>
      <c r="D132" s="435"/>
      <c r="E132" s="436"/>
      <c r="F132" s="102">
        <f t="shared" si="6"/>
        <v>0</v>
      </c>
      <c r="G132" s="442"/>
      <c r="H132" s="445"/>
      <c r="I132" s="133">
        <f t="shared" si="5"/>
        <v>0</v>
      </c>
    </row>
    <row r="133" spans="1:9" x14ac:dyDescent="0.2">
      <c r="A133" s="434"/>
      <c r="B133" s="277"/>
      <c r="C133" s="277"/>
      <c r="D133" s="435"/>
      <c r="E133" s="436"/>
      <c r="F133" s="102">
        <f t="shared" si="6"/>
        <v>0</v>
      </c>
      <c r="G133" s="442"/>
      <c r="H133" s="445"/>
      <c r="I133" s="133">
        <f t="shared" si="5"/>
        <v>0</v>
      </c>
    </row>
    <row r="134" spans="1:9" x14ac:dyDescent="0.2">
      <c r="A134" s="434"/>
      <c r="B134" s="277"/>
      <c r="C134" s="277"/>
      <c r="D134" s="435"/>
      <c r="E134" s="436"/>
      <c r="F134" s="102">
        <f t="shared" si="6"/>
        <v>0</v>
      </c>
      <c r="G134" s="442"/>
      <c r="H134" s="445"/>
      <c r="I134" s="133">
        <f t="shared" si="5"/>
        <v>0</v>
      </c>
    </row>
    <row r="135" spans="1:9" x14ac:dyDescent="0.2">
      <c r="A135" s="434"/>
      <c r="B135" s="277"/>
      <c r="C135" s="277"/>
      <c r="D135" s="435"/>
      <c r="E135" s="436"/>
      <c r="F135" s="102">
        <f t="shared" si="6"/>
        <v>0</v>
      </c>
      <c r="G135" s="442"/>
      <c r="H135" s="445"/>
      <c r="I135" s="133">
        <f t="shared" si="5"/>
        <v>0</v>
      </c>
    </row>
    <row r="136" spans="1:9" x14ac:dyDescent="0.2">
      <c r="A136" s="434"/>
      <c r="B136" s="277"/>
      <c r="C136" s="277"/>
      <c r="D136" s="435"/>
      <c r="E136" s="436"/>
      <c r="F136" s="102">
        <f t="shared" si="6"/>
        <v>0</v>
      </c>
      <c r="G136" s="442"/>
      <c r="H136" s="445"/>
      <c r="I136" s="133">
        <f t="shared" si="5"/>
        <v>0</v>
      </c>
    </row>
    <row r="137" spans="1:9" x14ac:dyDescent="0.2">
      <c r="A137" s="434"/>
      <c r="B137" s="277"/>
      <c r="C137" s="277"/>
      <c r="D137" s="435"/>
      <c r="E137" s="436"/>
      <c r="F137" s="102">
        <f t="shared" ref="F137:F156" si="7">D137*E137</f>
        <v>0</v>
      </c>
      <c r="G137" s="442"/>
      <c r="H137" s="445"/>
      <c r="I137" s="133">
        <f t="shared" ref="I137:I156" si="8">F137*H137</f>
        <v>0</v>
      </c>
    </row>
    <row r="138" spans="1:9" x14ac:dyDescent="0.2">
      <c r="A138" s="434"/>
      <c r="B138" s="277"/>
      <c r="C138" s="277"/>
      <c r="D138" s="435"/>
      <c r="E138" s="436"/>
      <c r="F138" s="102">
        <f t="shared" si="7"/>
        <v>0</v>
      </c>
      <c r="G138" s="442"/>
      <c r="H138" s="445"/>
      <c r="I138" s="133">
        <f t="shared" si="8"/>
        <v>0</v>
      </c>
    </row>
    <row r="139" spans="1:9" x14ac:dyDescent="0.2">
      <c r="A139" s="434"/>
      <c r="B139" s="277"/>
      <c r="C139" s="277"/>
      <c r="D139" s="435"/>
      <c r="E139" s="436"/>
      <c r="F139" s="102">
        <f t="shared" si="7"/>
        <v>0</v>
      </c>
      <c r="G139" s="442"/>
      <c r="H139" s="445"/>
      <c r="I139" s="133">
        <f t="shared" si="8"/>
        <v>0</v>
      </c>
    </row>
    <row r="140" spans="1:9" x14ac:dyDescent="0.2">
      <c r="A140" s="434"/>
      <c r="B140" s="277"/>
      <c r="C140" s="277"/>
      <c r="D140" s="435"/>
      <c r="E140" s="436"/>
      <c r="F140" s="102">
        <f t="shared" si="7"/>
        <v>0</v>
      </c>
      <c r="G140" s="442"/>
      <c r="H140" s="445"/>
      <c r="I140" s="133">
        <f t="shared" si="8"/>
        <v>0</v>
      </c>
    </row>
    <row r="141" spans="1:9" x14ac:dyDescent="0.2">
      <c r="A141" s="434"/>
      <c r="B141" s="277"/>
      <c r="C141" s="277"/>
      <c r="D141" s="435"/>
      <c r="E141" s="436"/>
      <c r="F141" s="102">
        <f t="shared" si="7"/>
        <v>0</v>
      </c>
      <c r="G141" s="442"/>
      <c r="H141" s="445"/>
      <c r="I141" s="133">
        <f t="shared" si="8"/>
        <v>0</v>
      </c>
    </row>
    <row r="142" spans="1:9" x14ac:dyDescent="0.2">
      <c r="A142" s="434"/>
      <c r="B142" s="277"/>
      <c r="C142" s="277"/>
      <c r="D142" s="435"/>
      <c r="E142" s="436"/>
      <c r="F142" s="102">
        <f t="shared" si="7"/>
        <v>0</v>
      </c>
      <c r="G142" s="442"/>
      <c r="H142" s="445"/>
      <c r="I142" s="133">
        <f t="shared" si="8"/>
        <v>0</v>
      </c>
    </row>
    <row r="143" spans="1:9" x14ac:dyDescent="0.2">
      <c r="A143" s="434"/>
      <c r="B143" s="277"/>
      <c r="C143" s="277"/>
      <c r="D143" s="435"/>
      <c r="E143" s="436"/>
      <c r="F143" s="102">
        <f t="shared" si="7"/>
        <v>0</v>
      </c>
      <c r="G143" s="442"/>
      <c r="H143" s="445"/>
      <c r="I143" s="133">
        <f t="shared" si="8"/>
        <v>0</v>
      </c>
    </row>
    <row r="144" spans="1:9" x14ac:dyDescent="0.2">
      <c r="A144" s="434"/>
      <c r="B144" s="277"/>
      <c r="C144" s="277"/>
      <c r="D144" s="435"/>
      <c r="E144" s="436"/>
      <c r="F144" s="102">
        <f t="shared" si="7"/>
        <v>0</v>
      </c>
      <c r="G144" s="442"/>
      <c r="H144" s="445"/>
      <c r="I144" s="133">
        <f t="shared" si="8"/>
        <v>0</v>
      </c>
    </row>
    <row r="145" spans="1:9" x14ac:dyDescent="0.2">
      <c r="A145" s="434"/>
      <c r="B145" s="277"/>
      <c r="C145" s="277"/>
      <c r="D145" s="435"/>
      <c r="E145" s="436"/>
      <c r="F145" s="102">
        <f t="shared" si="7"/>
        <v>0</v>
      </c>
      <c r="G145" s="442"/>
      <c r="H145" s="445"/>
      <c r="I145" s="133">
        <f t="shared" si="8"/>
        <v>0</v>
      </c>
    </row>
    <row r="146" spans="1:9" x14ac:dyDescent="0.2">
      <c r="A146" s="434"/>
      <c r="B146" s="277"/>
      <c r="C146" s="277"/>
      <c r="D146" s="435"/>
      <c r="E146" s="436"/>
      <c r="F146" s="102">
        <f t="shared" si="7"/>
        <v>0</v>
      </c>
      <c r="G146" s="442"/>
      <c r="H146" s="445"/>
      <c r="I146" s="133">
        <f t="shared" si="8"/>
        <v>0</v>
      </c>
    </row>
    <row r="147" spans="1:9" x14ac:dyDescent="0.2">
      <c r="A147" s="434"/>
      <c r="B147" s="277"/>
      <c r="C147" s="277"/>
      <c r="D147" s="435"/>
      <c r="E147" s="436"/>
      <c r="F147" s="102">
        <f t="shared" si="7"/>
        <v>0</v>
      </c>
      <c r="G147" s="442"/>
      <c r="H147" s="445"/>
      <c r="I147" s="133">
        <f t="shared" si="8"/>
        <v>0</v>
      </c>
    </row>
    <row r="148" spans="1:9" x14ac:dyDescent="0.2">
      <c r="A148" s="434"/>
      <c r="B148" s="277"/>
      <c r="C148" s="277"/>
      <c r="D148" s="435"/>
      <c r="E148" s="436"/>
      <c r="F148" s="102">
        <f t="shared" si="7"/>
        <v>0</v>
      </c>
      <c r="G148" s="442"/>
      <c r="H148" s="445"/>
      <c r="I148" s="133">
        <f t="shared" si="8"/>
        <v>0</v>
      </c>
    </row>
    <row r="149" spans="1:9" x14ac:dyDescent="0.2">
      <c r="A149" s="434"/>
      <c r="B149" s="277"/>
      <c r="C149" s="277"/>
      <c r="D149" s="435"/>
      <c r="E149" s="436"/>
      <c r="F149" s="102">
        <f t="shared" si="7"/>
        <v>0</v>
      </c>
      <c r="G149" s="442"/>
      <c r="H149" s="445"/>
      <c r="I149" s="133">
        <f t="shared" si="8"/>
        <v>0</v>
      </c>
    </row>
    <row r="150" spans="1:9" x14ac:dyDescent="0.2">
      <c r="A150" s="434"/>
      <c r="B150" s="277"/>
      <c r="C150" s="277"/>
      <c r="D150" s="435"/>
      <c r="E150" s="436"/>
      <c r="F150" s="102">
        <f t="shared" si="7"/>
        <v>0</v>
      </c>
      <c r="G150" s="442"/>
      <c r="H150" s="445"/>
      <c r="I150" s="133">
        <f t="shared" si="8"/>
        <v>0</v>
      </c>
    </row>
    <row r="151" spans="1:9" x14ac:dyDescent="0.2">
      <c r="A151" s="434"/>
      <c r="B151" s="277"/>
      <c r="C151" s="277"/>
      <c r="D151" s="435"/>
      <c r="E151" s="436"/>
      <c r="F151" s="102">
        <f t="shared" si="7"/>
        <v>0</v>
      </c>
      <c r="G151" s="442"/>
      <c r="H151" s="445"/>
      <c r="I151" s="133">
        <f t="shared" si="8"/>
        <v>0</v>
      </c>
    </row>
    <row r="152" spans="1:9" x14ac:dyDescent="0.2">
      <c r="A152" s="434"/>
      <c r="B152" s="277"/>
      <c r="C152" s="277"/>
      <c r="D152" s="435"/>
      <c r="E152" s="436"/>
      <c r="F152" s="102">
        <f t="shared" si="7"/>
        <v>0</v>
      </c>
      <c r="G152" s="442"/>
      <c r="H152" s="445"/>
      <c r="I152" s="133">
        <f t="shared" si="8"/>
        <v>0</v>
      </c>
    </row>
    <row r="153" spans="1:9" x14ac:dyDescent="0.2">
      <c r="A153" s="434"/>
      <c r="B153" s="277"/>
      <c r="C153" s="277"/>
      <c r="D153" s="435"/>
      <c r="E153" s="436"/>
      <c r="F153" s="102">
        <f t="shared" si="7"/>
        <v>0</v>
      </c>
      <c r="G153" s="442"/>
      <c r="H153" s="445"/>
      <c r="I153" s="133">
        <f t="shared" si="8"/>
        <v>0</v>
      </c>
    </row>
    <row r="154" spans="1:9" x14ac:dyDescent="0.2">
      <c r="A154" s="434"/>
      <c r="B154" s="277"/>
      <c r="C154" s="277"/>
      <c r="D154" s="435"/>
      <c r="E154" s="436"/>
      <c r="F154" s="102">
        <f t="shared" si="7"/>
        <v>0</v>
      </c>
      <c r="G154" s="442"/>
      <c r="H154" s="445"/>
      <c r="I154" s="133">
        <f t="shared" si="8"/>
        <v>0</v>
      </c>
    </row>
    <row r="155" spans="1:9" x14ac:dyDescent="0.2">
      <c r="A155" s="434"/>
      <c r="B155" s="277"/>
      <c r="C155" s="277"/>
      <c r="D155" s="435"/>
      <c r="E155" s="436"/>
      <c r="F155" s="102">
        <f t="shared" si="7"/>
        <v>0</v>
      </c>
      <c r="G155" s="442"/>
      <c r="H155" s="445"/>
      <c r="I155" s="133">
        <f t="shared" si="8"/>
        <v>0</v>
      </c>
    </row>
    <row r="156" spans="1:9" ht="15" thickBot="1" x14ac:dyDescent="0.25">
      <c r="A156" s="434"/>
      <c r="B156" s="277"/>
      <c r="C156" s="277"/>
      <c r="D156" s="435"/>
      <c r="E156" s="436"/>
      <c r="F156" s="102">
        <f t="shared" si="7"/>
        <v>0</v>
      </c>
      <c r="G156" s="442"/>
      <c r="H156" s="445"/>
      <c r="I156" s="133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3"/>
      <c r="I157" s="136">
        <f>SUM(I119:I156)</f>
        <v>327.09000000000003</v>
      </c>
    </row>
  </sheetData>
  <sheetProtection password="DC5E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71" t="s">
        <v>179</v>
      </c>
    </row>
    <row r="3" spans="1:10" ht="15.75" x14ac:dyDescent="0.3">
      <c r="A3" s="471" t="s">
        <v>217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Rote Johannisbeeren, Rovada, 3-Ast-Hecke, Bodenkultur</v>
      </c>
      <c r="C6" s="11"/>
      <c r="D6" s="11"/>
      <c r="E6" s="11"/>
      <c r="F6" s="100"/>
      <c r="G6" s="99"/>
      <c r="H6" s="99"/>
    </row>
    <row r="7" spans="1:10" ht="15" x14ac:dyDescent="0.25">
      <c r="B7" s="11">
        <f>'Deckungsbeitrag Arbeitsgänge'!$B$7</f>
        <v>0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1" t="s">
        <v>75</v>
      </c>
      <c r="B11" s="49" t="s">
        <v>29</v>
      </c>
      <c r="C11" s="49" t="s">
        <v>76</v>
      </c>
      <c r="D11" s="112" t="s">
        <v>84</v>
      </c>
      <c r="E11" s="49" t="s">
        <v>32</v>
      </c>
      <c r="F11" s="113" t="s">
        <v>77</v>
      </c>
      <c r="G11" s="52"/>
      <c r="H11" s="52"/>
      <c r="I11" s="52"/>
      <c r="J11" s="52"/>
    </row>
    <row r="12" spans="1:10" ht="14.45" x14ac:dyDescent="0.25">
      <c r="A12" s="446" t="s">
        <v>305</v>
      </c>
      <c r="B12" s="447" t="s">
        <v>31</v>
      </c>
      <c r="C12" s="448">
        <v>18000</v>
      </c>
      <c r="D12" s="449">
        <v>0.107</v>
      </c>
      <c r="E12" s="450">
        <v>2.2000000000000002</v>
      </c>
      <c r="F12" s="116">
        <f>C12*E12*(1+D12)</f>
        <v>43837.2</v>
      </c>
      <c r="H12" s="52"/>
      <c r="I12" s="52"/>
      <c r="J12" s="52"/>
    </row>
    <row r="13" spans="1:10" ht="14.45" x14ac:dyDescent="0.25">
      <c r="A13" s="451"/>
      <c r="B13" s="452"/>
      <c r="C13" s="453"/>
      <c r="D13" s="454"/>
      <c r="E13" s="455"/>
      <c r="F13" s="119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51"/>
      <c r="B14" s="452"/>
      <c r="C14" s="452"/>
      <c r="D14" s="454"/>
      <c r="E14" s="455"/>
      <c r="F14" s="119">
        <f t="shared" si="0"/>
        <v>0</v>
      </c>
      <c r="G14" s="106"/>
      <c r="H14" s="106"/>
      <c r="I14" s="107"/>
      <c r="J14" s="107"/>
    </row>
    <row r="15" spans="1:10" x14ac:dyDescent="0.2">
      <c r="A15" s="456"/>
      <c r="B15" s="457"/>
      <c r="C15" s="457"/>
      <c r="D15" s="458"/>
      <c r="E15" s="459"/>
      <c r="F15" s="120">
        <f t="shared" si="0"/>
        <v>0</v>
      </c>
      <c r="G15" s="106"/>
      <c r="H15" s="106"/>
      <c r="I15" s="107"/>
      <c r="J15" s="107"/>
    </row>
    <row r="16" spans="1:10" ht="15.75" thickBot="1" x14ac:dyDescent="0.3">
      <c r="A16" s="38" t="s">
        <v>78</v>
      </c>
      <c r="B16" s="114"/>
      <c r="C16" s="114"/>
      <c r="D16" s="114"/>
      <c r="E16" s="115"/>
      <c r="F16" s="130">
        <f>SUM(F12:F15)</f>
        <v>43837.2</v>
      </c>
      <c r="G16" s="106"/>
      <c r="H16" s="106"/>
      <c r="I16" s="107"/>
      <c r="J16" s="107"/>
    </row>
    <row r="17" spans="1:10" ht="15" thickBot="1" x14ac:dyDescent="0.25">
      <c r="A17" s="51"/>
      <c r="B17" s="52"/>
      <c r="C17" s="52"/>
      <c r="D17" s="52"/>
      <c r="E17" s="104"/>
      <c r="F17" s="110"/>
      <c r="G17" s="106"/>
      <c r="H17" s="106"/>
      <c r="I17" s="107"/>
      <c r="J17" s="107"/>
    </row>
    <row r="18" spans="1:10" ht="15" x14ac:dyDescent="0.25">
      <c r="A18" s="121" t="s">
        <v>79</v>
      </c>
      <c r="B18" s="49" t="s">
        <v>29</v>
      </c>
      <c r="C18" s="49" t="s">
        <v>76</v>
      </c>
      <c r="D18" s="49" t="s">
        <v>84</v>
      </c>
      <c r="E18" s="124" t="s">
        <v>32</v>
      </c>
      <c r="F18" s="125" t="s">
        <v>77</v>
      </c>
      <c r="G18" s="106"/>
      <c r="H18" s="106"/>
      <c r="I18" s="107"/>
      <c r="J18" s="107"/>
    </row>
    <row r="19" spans="1:10" x14ac:dyDescent="0.2">
      <c r="A19" s="475" t="s">
        <v>325</v>
      </c>
      <c r="B19" s="447" t="s">
        <v>324</v>
      </c>
      <c r="C19" s="452">
        <v>1</v>
      </c>
      <c r="D19" s="454">
        <v>0.19</v>
      </c>
      <c r="E19" s="455">
        <v>220</v>
      </c>
      <c r="F19" s="119">
        <f>C19*E19*(1+D19)</f>
        <v>261.8</v>
      </c>
      <c r="G19" s="106"/>
      <c r="H19" s="106"/>
      <c r="I19" s="107"/>
      <c r="J19" s="107"/>
    </row>
    <row r="20" spans="1:10" x14ac:dyDescent="0.2">
      <c r="A20" s="473" t="s">
        <v>215</v>
      </c>
      <c r="B20" s="117"/>
      <c r="C20" s="117"/>
      <c r="D20" s="486">
        <v>0.19</v>
      </c>
      <c r="E20" s="118">
        <f>'Deckungsbeitrag Pflanzenschutz'!I50</f>
        <v>869.19499999999994</v>
      </c>
      <c r="F20" s="119">
        <f>E20*(1+D20)</f>
        <v>1034.34205</v>
      </c>
      <c r="G20" s="106"/>
      <c r="H20" s="106"/>
      <c r="I20" s="107"/>
      <c r="J20" s="107"/>
    </row>
    <row r="21" spans="1:10" x14ac:dyDescent="0.2">
      <c r="A21" s="473" t="s">
        <v>156</v>
      </c>
      <c r="B21" s="117"/>
      <c r="C21" s="117"/>
      <c r="D21" s="486">
        <v>0.19</v>
      </c>
      <c r="E21" s="118">
        <f>'Deckungsbeitrag Arbeitsgänge'!N39</f>
        <v>1495.79</v>
      </c>
      <c r="F21" s="119">
        <f>E21*(1+D21)</f>
        <v>1779.9901</v>
      </c>
      <c r="G21" s="106"/>
      <c r="H21" s="106"/>
      <c r="I21" s="107"/>
      <c r="J21" s="107"/>
    </row>
    <row r="22" spans="1:10" x14ac:dyDescent="0.2">
      <c r="A22" s="473" t="s">
        <v>102</v>
      </c>
      <c r="B22" s="117" t="s">
        <v>87</v>
      </c>
      <c r="C22" s="131">
        <f>'Deckungsbeitrag Arbeitsgänge'!C39</f>
        <v>1710</v>
      </c>
      <c r="D22" s="137"/>
      <c r="E22" s="476">
        <f>Ertragsgrenzen!B21</f>
        <v>14</v>
      </c>
      <c r="F22" s="119">
        <f>C22*E22</f>
        <v>23940</v>
      </c>
      <c r="G22" s="106"/>
      <c r="H22" s="106"/>
      <c r="I22" s="107"/>
      <c r="J22" s="107"/>
    </row>
    <row r="23" spans="1:10" ht="15" thickBot="1" x14ac:dyDescent="0.25">
      <c r="A23" s="473" t="s">
        <v>154</v>
      </c>
      <c r="B23" s="452"/>
      <c r="C23" s="452"/>
      <c r="D23" s="454"/>
      <c r="E23" s="462"/>
      <c r="F23" s="119">
        <f t="shared" ref="F23" si="1">C23*E23*(1+D23)</f>
        <v>0</v>
      </c>
      <c r="G23" s="106"/>
      <c r="H23" s="106"/>
      <c r="I23" s="107"/>
      <c r="J23" s="107"/>
    </row>
    <row r="24" spans="1:10" ht="15" thickBot="1" x14ac:dyDescent="0.25">
      <c r="A24" s="560" t="s">
        <v>229</v>
      </c>
      <c r="B24" s="561"/>
      <c r="C24" s="559" t="s">
        <v>216</v>
      </c>
      <c r="D24" s="559"/>
      <c r="E24" s="477">
        <f>'Einzelkosten Vollertrag'!D33</f>
        <v>0.02</v>
      </c>
      <c r="F24" s="119">
        <f>E24*(SUM('Investitionskosten Anlage'!D16:D22)+SUM('Investitionskosten Anlage'!D27:D28))</f>
        <v>190.10319999999999</v>
      </c>
      <c r="G24" s="106"/>
      <c r="H24" s="106"/>
      <c r="I24" s="107"/>
      <c r="J24" s="107"/>
    </row>
    <row r="25" spans="1:10" x14ac:dyDescent="0.2">
      <c r="A25" s="451" t="s">
        <v>315</v>
      </c>
      <c r="B25" s="117" t="s">
        <v>214</v>
      </c>
      <c r="C25" s="452">
        <f>(C12+C13)/0.5</f>
        <v>36000</v>
      </c>
      <c r="D25" s="454">
        <v>0.19</v>
      </c>
      <c r="E25" s="465">
        <v>6.3E-2</v>
      </c>
      <c r="F25" s="119">
        <f t="shared" ref="F25:F26" si="2">C25*E25*(1+D25)</f>
        <v>2698.92</v>
      </c>
      <c r="G25" s="106"/>
      <c r="H25" s="106"/>
      <c r="I25" s="107"/>
      <c r="J25" s="107"/>
    </row>
    <row r="26" spans="1:10" ht="15" thickBot="1" x14ac:dyDescent="0.25">
      <c r="A26" s="451" t="s">
        <v>316</v>
      </c>
      <c r="B26" s="117" t="s">
        <v>214</v>
      </c>
      <c r="C26" s="452">
        <f>C25/10</f>
        <v>3600</v>
      </c>
      <c r="D26" s="454">
        <v>0.19</v>
      </c>
      <c r="E26" s="462">
        <v>0.55000000000000004</v>
      </c>
      <c r="F26" s="119">
        <f t="shared" si="2"/>
        <v>2356.2000000000003</v>
      </c>
      <c r="G26" s="106"/>
      <c r="H26" s="106"/>
      <c r="I26" s="107"/>
      <c r="J26" s="107"/>
    </row>
    <row r="27" spans="1:10" ht="15" thickBot="1" x14ac:dyDescent="0.25">
      <c r="A27" s="473" t="s">
        <v>104</v>
      </c>
      <c r="B27" s="474"/>
      <c r="C27" s="555" t="s">
        <v>216</v>
      </c>
      <c r="D27" s="556"/>
      <c r="E27" s="472"/>
      <c r="F27" s="119">
        <f>E27*F16</f>
        <v>0</v>
      </c>
      <c r="G27" s="106"/>
      <c r="H27" s="106"/>
      <c r="I27" s="107"/>
      <c r="J27" s="107"/>
    </row>
    <row r="28" spans="1:10" x14ac:dyDescent="0.2">
      <c r="A28" s="473" t="s">
        <v>105</v>
      </c>
      <c r="B28" s="463" t="s">
        <v>106</v>
      </c>
      <c r="C28" s="478">
        <v>150</v>
      </c>
      <c r="D28" s="454">
        <v>7.0000000000000007E-2</v>
      </c>
      <c r="E28" s="479">
        <v>2.5</v>
      </c>
      <c r="F28" s="119">
        <f t="shared" ref="F28:F36" si="3">C28*E28*(1+D28)</f>
        <v>401.25</v>
      </c>
      <c r="G28" s="106"/>
      <c r="H28" s="106"/>
      <c r="I28" s="107"/>
      <c r="J28" s="107"/>
    </row>
    <row r="29" spans="1:10" x14ac:dyDescent="0.2">
      <c r="A29" s="473" t="s">
        <v>226</v>
      </c>
      <c r="B29" s="452" t="s">
        <v>31</v>
      </c>
      <c r="C29" s="453">
        <f>C12</f>
        <v>18000</v>
      </c>
      <c r="D29" s="460"/>
      <c r="E29" s="476">
        <f>'Einzelkosten Vollertrag'!D42</f>
        <v>0.05</v>
      </c>
      <c r="F29" s="119">
        <f>C29*E29</f>
        <v>900</v>
      </c>
      <c r="G29" s="106"/>
      <c r="H29" s="106"/>
      <c r="I29" s="107"/>
      <c r="J29" s="107"/>
    </row>
    <row r="30" spans="1:10" x14ac:dyDescent="0.2">
      <c r="A30" s="473" t="s">
        <v>227</v>
      </c>
      <c r="B30" s="452" t="s">
        <v>228</v>
      </c>
      <c r="C30" s="453">
        <f>'Einzelkosten Vollertrag'!C40</f>
        <v>36000</v>
      </c>
      <c r="D30" s="460"/>
      <c r="E30" s="476">
        <f>'Einzelkosten Vollertrag'!D40</f>
        <v>0.04</v>
      </c>
      <c r="F30" s="119">
        <f>C30*E30</f>
        <v>1440</v>
      </c>
      <c r="G30" s="106"/>
      <c r="H30" s="106"/>
      <c r="I30" s="107"/>
      <c r="J30" s="107"/>
    </row>
    <row r="31" spans="1:10" x14ac:dyDescent="0.2">
      <c r="A31" s="451" t="s">
        <v>326</v>
      </c>
      <c r="B31" s="452" t="s">
        <v>213</v>
      </c>
      <c r="C31" s="506">
        <v>1.1000000000000001</v>
      </c>
      <c r="D31" s="454">
        <v>0.19</v>
      </c>
      <c r="E31" s="455">
        <v>29.5</v>
      </c>
      <c r="F31" s="483">
        <f t="shared" si="3"/>
        <v>38.615500000000004</v>
      </c>
      <c r="H31" s="106"/>
      <c r="I31" s="107"/>
      <c r="J31" s="107"/>
    </row>
    <row r="32" spans="1:10" ht="13.9" x14ac:dyDescent="0.25">
      <c r="A32" s="451"/>
      <c r="B32" s="452"/>
      <c r="C32" s="466"/>
      <c r="D32" s="454"/>
      <c r="E32" s="455"/>
      <c r="F32" s="483">
        <f t="shared" si="3"/>
        <v>0</v>
      </c>
      <c r="G32" s="106"/>
      <c r="H32" s="106"/>
      <c r="I32" s="107"/>
      <c r="J32" s="107"/>
    </row>
    <row r="33" spans="1:10" x14ac:dyDescent="0.2">
      <c r="A33" s="451"/>
      <c r="B33" s="460"/>
      <c r="C33" s="452"/>
      <c r="D33" s="454"/>
      <c r="E33" s="455"/>
      <c r="F33" s="483">
        <f t="shared" si="3"/>
        <v>0</v>
      </c>
      <c r="G33" s="106"/>
      <c r="H33" s="106"/>
      <c r="I33" s="107"/>
      <c r="J33" s="107"/>
    </row>
    <row r="34" spans="1:10" x14ac:dyDescent="0.2">
      <c r="A34" s="451"/>
      <c r="B34" s="452"/>
      <c r="C34" s="452"/>
      <c r="D34" s="454"/>
      <c r="E34" s="455"/>
      <c r="F34" s="483">
        <f t="shared" si="3"/>
        <v>0</v>
      </c>
      <c r="G34" s="106"/>
      <c r="H34" s="106"/>
      <c r="I34" s="107"/>
      <c r="J34" s="107"/>
    </row>
    <row r="35" spans="1:10" ht="14.45" x14ac:dyDescent="0.25">
      <c r="A35" s="451"/>
      <c r="B35" s="452"/>
      <c r="C35" s="452"/>
      <c r="D35" s="454"/>
      <c r="E35" s="455"/>
      <c r="F35" s="483">
        <f t="shared" si="3"/>
        <v>0</v>
      </c>
      <c r="G35" s="106"/>
      <c r="H35" s="106"/>
      <c r="I35" s="107"/>
      <c r="J35" s="107"/>
    </row>
    <row r="36" spans="1:10" x14ac:dyDescent="0.2">
      <c r="A36" s="456"/>
      <c r="B36" s="457"/>
      <c r="C36" s="457"/>
      <c r="D36" s="458"/>
      <c r="E36" s="459"/>
      <c r="F36" s="484">
        <f t="shared" si="3"/>
        <v>0</v>
      </c>
      <c r="G36" s="106"/>
      <c r="H36" s="106"/>
      <c r="I36" s="107"/>
      <c r="J36" s="107"/>
    </row>
    <row r="37" spans="1:10" ht="15" x14ac:dyDescent="0.25">
      <c r="A37" s="122" t="s">
        <v>80</v>
      </c>
      <c r="B37" s="41"/>
      <c r="C37" s="41"/>
      <c r="D37" s="41"/>
      <c r="E37" s="123"/>
      <c r="F37" s="153">
        <f>SUM(F19:F36)</f>
        <v>35041.220849999998</v>
      </c>
      <c r="G37" s="106"/>
      <c r="H37" s="106"/>
      <c r="I37" s="107"/>
      <c r="J37" s="107"/>
    </row>
    <row r="38" spans="1:10" x14ac:dyDescent="0.2">
      <c r="A38" s="122" t="s">
        <v>81</v>
      </c>
      <c r="B38" s="41"/>
      <c r="C38" s="467">
        <v>0.02</v>
      </c>
      <c r="D38" s="41"/>
      <c r="E38" s="123"/>
      <c r="F38" s="126">
        <f>F37*C38</f>
        <v>700.82441699999993</v>
      </c>
      <c r="G38" s="106"/>
      <c r="H38" s="106"/>
      <c r="I38" s="107"/>
      <c r="J38" s="107"/>
    </row>
    <row r="39" spans="1:10" ht="15.75" thickBot="1" x14ac:dyDescent="0.3">
      <c r="A39" s="38" t="s">
        <v>82</v>
      </c>
      <c r="B39" s="114"/>
      <c r="C39" s="114"/>
      <c r="D39" s="114"/>
      <c r="E39" s="36"/>
      <c r="F39" s="130">
        <f>SUM(F37:F38)</f>
        <v>35742.045267000001</v>
      </c>
      <c r="G39" s="106"/>
      <c r="H39" s="106"/>
      <c r="I39" s="107"/>
      <c r="J39" s="107"/>
    </row>
    <row r="40" spans="1:10" ht="15" thickBot="1" x14ac:dyDescent="0.25">
      <c r="A40" s="51"/>
      <c r="B40" s="52"/>
      <c r="C40" s="52"/>
      <c r="D40" s="52"/>
      <c r="E40" s="104"/>
      <c r="F40" s="111"/>
      <c r="G40" s="106"/>
      <c r="H40" s="106"/>
      <c r="I40" s="107"/>
      <c r="J40" s="107"/>
    </row>
    <row r="41" spans="1:10" ht="15" x14ac:dyDescent="0.25">
      <c r="A41" s="121" t="s">
        <v>83</v>
      </c>
      <c r="B41" s="49"/>
      <c r="C41" s="49"/>
      <c r="D41" s="49"/>
      <c r="E41" s="124"/>
      <c r="F41" s="127">
        <f>F16-F39</f>
        <v>8095.1547329999958</v>
      </c>
      <c r="G41" s="106"/>
      <c r="H41" s="106"/>
      <c r="I41" s="107"/>
      <c r="J41" s="107"/>
    </row>
    <row r="42" spans="1:10" ht="15.75" thickBot="1" x14ac:dyDescent="0.3">
      <c r="A42" s="128" t="s">
        <v>85</v>
      </c>
      <c r="B42" s="114"/>
      <c r="C42" s="114" t="s">
        <v>86</v>
      </c>
      <c r="D42" s="36"/>
      <c r="E42" s="129"/>
      <c r="F42" s="130">
        <f>F16-F37</f>
        <v>8795.9791499999992</v>
      </c>
      <c r="G42" s="106"/>
      <c r="H42" s="106"/>
      <c r="I42" s="107"/>
      <c r="J42" s="107"/>
    </row>
    <row r="43" spans="1:10" x14ac:dyDescent="0.2">
      <c r="A43" s="52"/>
      <c r="B43" s="52"/>
      <c r="C43" s="52"/>
      <c r="D43" s="104"/>
      <c r="E43" s="105"/>
      <c r="F43" s="104"/>
      <c r="G43" s="106"/>
      <c r="H43" s="106"/>
      <c r="I43" s="107"/>
      <c r="J43" s="107"/>
    </row>
    <row r="44" spans="1:10" x14ac:dyDescent="0.2">
      <c r="B44" s="52"/>
      <c r="C44" s="52"/>
      <c r="D44" s="104"/>
      <c r="E44" s="105"/>
      <c r="F44" s="104"/>
      <c r="G44" s="106"/>
      <c r="H44" s="106"/>
      <c r="I44" s="107"/>
      <c r="J44" s="107"/>
    </row>
    <row r="45" spans="1:10" x14ac:dyDescent="0.2">
      <c r="A45" s="52"/>
      <c r="B45" s="52"/>
      <c r="C45" s="52"/>
      <c r="D45" s="104"/>
      <c r="E45" s="105"/>
      <c r="F45" s="104"/>
      <c r="G45" s="106"/>
      <c r="H45" s="106"/>
      <c r="I45" s="107"/>
      <c r="J45" s="107"/>
    </row>
    <row r="46" spans="1:10" x14ac:dyDescent="0.2">
      <c r="A46" s="52"/>
      <c r="B46" s="52"/>
      <c r="C46" s="52"/>
      <c r="D46" s="104"/>
      <c r="E46" s="105"/>
      <c r="F46" s="104"/>
      <c r="G46" s="106"/>
      <c r="H46" s="106"/>
      <c r="I46" s="107"/>
      <c r="J46" s="107"/>
    </row>
    <row r="47" spans="1:10" x14ac:dyDescent="0.2">
      <c r="A47" s="52"/>
      <c r="B47" s="52"/>
      <c r="C47" s="52"/>
      <c r="D47" s="104"/>
      <c r="E47" s="105"/>
      <c r="F47" s="104"/>
      <c r="G47" s="106"/>
      <c r="H47" s="106"/>
      <c r="I47" s="107"/>
      <c r="J47" s="107"/>
    </row>
    <row r="48" spans="1:10" x14ac:dyDescent="0.2">
      <c r="A48" s="52"/>
      <c r="B48" s="52"/>
      <c r="C48" s="52"/>
      <c r="D48" s="104"/>
      <c r="E48" s="105"/>
      <c r="F48" s="104"/>
      <c r="G48" s="106"/>
      <c r="H48" s="106"/>
      <c r="I48" s="107"/>
      <c r="J48" s="107"/>
    </row>
    <row r="49" spans="1:10" x14ac:dyDescent="0.2">
      <c r="A49" s="52"/>
      <c r="B49" s="52"/>
      <c r="C49" s="52"/>
      <c r="D49" s="104"/>
      <c r="E49" s="105"/>
      <c r="F49" s="104"/>
      <c r="G49" s="106"/>
      <c r="H49" s="106"/>
      <c r="I49" s="107"/>
      <c r="J49" s="107"/>
    </row>
    <row r="50" spans="1:10" x14ac:dyDescent="0.2">
      <c r="A50" s="52"/>
      <c r="B50" s="52"/>
      <c r="C50" s="52"/>
      <c r="D50" s="104"/>
      <c r="E50" s="105"/>
      <c r="F50" s="104"/>
      <c r="G50" s="106"/>
      <c r="H50" s="106"/>
      <c r="I50" s="107"/>
      <c r="J50" s="107"/>
    </row>
    <row r="51" spans="1:10" x14ac:dyDescent="0.2">
      <c r="A51" s="52"/>
      <c r="B51" s="52"/>
      <c r="C51" s="52"/>
      <c r="D51" s="104"/>
      <c r="E51" s="105"/>
      <c r="F51" s="104"/>
      <c r="G51" s="106"/>
      <c r="H51" s="106"/>
      <c r="I51" s="107"/>
      <c r="J51" s="107"/>
    </row>
    <row r="52" spans="1:10" ht="15" x14ac:dyDescent="0.25">
      <c r="A52" s="108"/>
      <c r="B52" s="52"/>
      <c r="C52" s="52"/>
      <c r="D52" s="52"/>
      <c r="E52" s="52"/>
      <c r="F52" s="52"/>
      <c r="G52" s="52"/>
      <c r="H52" s="52"/>
      <c r="I52" s="107"/>
      <c r="J52" s="109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71" t="s">
        <v>179</v>
      </c>
    </row>
    <row r="59" spans="1:10" ht="15.75" x14ac:dyDescent="0.3">
      <c r="A59" s="471" t="s">
        <v>217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Rote Johannisbeeren, Rovada, 3-Ast-Hecke, Bodenkultur</v>
      </c>
      <c r="C62" s="11"/>
      <c r="D62" s="11"/>
      <c r="E62" s="11"/>
      <c r="F62" s="100"/>
    </row>
    <row r="63" spans="1:10" ht="15" x14ac:dyDescent="0.25">
      <c r="B63" s="11">
        <f>'Deckungsbeitrag Arbeitsgänge'!$B$7</f>
        <v>0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1" t="s">
        <v>75</v>
      </c>
      <c r="B67" s="49" t="s">
        <v>29</v>
      </c>
      <c r="C67" s="49" t="s">
        <v>76</v>
      </c>
      <c r="D67" s="112" t="s">
        <v>84</v>
      </c>
      <c r="E67" s="49" t="s">
        <v>32</v>
      </c>
      <c r="F67" s="113" t="s">
        <v>77</v>
      </c>
    </row>
    <row r="68" spans="1:6" x14ac:dyDescent="0.2">
      <c r="A68" s="446" t="s">
        <v>305</v>
      </c>
      <c r="B68" s="447" t="s">
        <v>31</v>
      </c>
      <c r="C68" s="468">
        <v>7500</v>
      </c>
      <c r="D68" s="469">
        <v>0.107</v>
      </c>
      <c r="E68" s="450">
        <v>2.2000000000000002</v>
      </c>
      <c r="F68" s="116">
        <f>C68*E68*(1+D68)</f>
        <v>18265.5</v>
      </c>
    </row>
    <row r="69" spans="1:6" x14ac:dyDescent="0.2">
      <c r="A69" s="451"/>
      <c r="B69" s="452"/>
      <c r="C69" s="453"/>
      <c r="D69" s="454"/>
      <c r="E69" s="455"/>
      <c r="F69" s="119">
        <f t="shared" ref="F69:F71" si="4">C69*E69*(1+D69)</f>
        <v>0</v>
      </c>
    </row>
    <row r="70" spans="1:6" x14ac:dyDescent="0.2">
      <c r="A70" s="451"/>
      <c r="B70" s="452"/>
      <c r="C70" s="452"/>
      <c r="D70" s="454"/>
      <c r="E70" s="455"/>
      <c r="F70" s="119">
        <f t="shared" si="4"/>
        <v>0</v>
      </c>
    </row>
    <row r="71" spans="1:6" x14ac:dyDescent="0.2">
      <c r="A71" s="456"/>
      <c r="B71" s="457"/>
      <c r="C71" s="457"/>
      <c r="D71" s="458"/>
      <c r="E71" s="459"/>
      <c r="F71" s="120">
        <f t="shared" si="4"/>
        <v>0</v>
      </c>
    </row>
    <row r="72" spans="1:6" ht="15.75" thickBot="1" x14ac:dyDescent="0.3">
      <c r="A72" s="38" t="s">
        <v>78</v>
      </c>
      <c r="B72" s="114"/>
      <c r="C72" s="114"/>
      <c r="D72" s="114"/>
      <c r="E72" s="115"/>
      <c r="F72" s="130">
        <f>SUM(F68:F71)</f>
        <v>18265.5</v>
      </c>
    </row>
    <row r="73" spans="1:6" ht="15" thickBot="1" x14ac:dyDescent="0.25">
      <c r="A73" s="51"/>
      <c r="B73" s="52"/>
      <c r="C73" s="52"/>
      <c r="D73" s="52"/>
      <c r="E73" s="104"/>
      <c r="F73" s="110"/>
    </row>
    <row r="74" spans="1:6" ht="15" x14ac:dyDescent="0.25">
      <c r="A74" s="121" t="s">
        <v>79</v>
      </c>
      <c r="B74" s="49" t="s">
        <v>29</v>
      </c>
      <c r="C74" s="49" t="s">
        <v>76</v>
      </c>
      <c r="D74" s="49" t="s">
        <v>84</v>
      </c>
      <c r="E74" s="124" t="s">
        <v>32</v>
      </c>
      <c r="F74" s="125" t="s">
        <v>77</v>
      </c>
    </row>
    <row r="75" spans="1:6" x14ac:dyDescent="0.2">
      <c r="A75" s="475" t="s">
        <v>325</v>
      </c>
      <c r="B75" s="447" t="s">
        <v>324</v>
      </c>
      <c r="C75" s="452">
        <v>1</v>
      </c>
      <c r="D75" s="454">
        <v>0.19</v>
      </c>
      <c r="E75" s="455">
        <v>220</v>
      </c>
      <c r="F75" s="119">
        <f>C75*E75*(1+D75)</f>
        <v>261.8</v>
      </c>
    </row>
    <row r="76" spans="1:6" x14ac:dyDescent="0.2">
      <c r="A76" s="473" t="s">
        <v>215</v>
      </c>
      <c r="B76" s="452"/>
      <c r="C76" s="117"/>
      <c r="D76" s="486">
        <v>0.19</v>
      </c>
      <c r="E76" s="118">
        <f>'Deckungsbeitrag Pflanzenschutz'!I101</f>
        <v>802.04499999999996</v>
      </c>
      <c r="F76" s="119">
        <f>E76*(1+D76)</f>
        <v>954.43354999999985</v>
      </c>
    </row>
    <row r="77" spans="1:6" x14ac:dyDescent="0.2">
      <c r="A77" s="473" t="s">
        <v>156</v>
      </c>
      <c r="B77" s="452"/>
      <c r="C77" s="117"/>
      <c r="D77" s="486">
        <v>0.19</v>
      </c>
      <c r="E77" s="118">
        <f>'Deckungsbeitrag Arbeitsgänge'!N77</f>
        <v>1390.13</v>
      </c>
      <c r="F77" s="119">
        <f>E77*(1+D77)</f>
        <v>1654.2547</v>
      </c>
    </row>
    <row r="78" spans="1:6" x14ac:dyDescent="0.2">
      <c r="A78" s="473" t="s">
        <v>102</v>
      </c>
      <c r="B78" s="481" t="s">
        <v>87</v>
      </c>
      <c r="C78" s="482">
        <f>'Deckungsbeitrag Arbeitsgänge'!C77</f>
        <v>1017.5</v>
      </c>
      <c r="D78" s="474"/>
      <c r="E78" s="476">
        <f>Ertragsgrenzen!B21</f>
        <v>14</v>
      </c>
      <c r="F78" s="119">
        <f>C78*E78</f>
        <v>14245</v>
      </c>
    </row>
    <row r="79" spans="1:6" ht="15" thickBot="1" x14ac:dyDescent="0.25">
      <c r="A79" s="473" t="s">
        <v>154</v>
      </c>
      <c r="B79" s="452"/>
      <c r="C79" s="480"/>
      <c r="D79" s="487"/>
      <c r="E79" s="462"/>
      <c r="F79" s="119">
        <f t="shared" ref="F79" si="5">C79*E79*(1+D79)</f>
        <v>0</v>
      </c>
    </row>
    <row r="80" spans="1:6" ht="15" thickBot="1" x14ac:dyDescent="0.25">
      <c r="A80" s="560" t="s">
        <v>229</v>
      </c>
      <c r="B80" s="561"/>
      <c r="C80" s="559" t="s">
        <v>216</v>
      </c>
      <c r="D80" s="559"/>
      <c r="E80" s="477">
        <f>'Einzelkosten Junganlage'!D33</f>
        <v>0.02</v>
      </c>
      <c r="F80" s="119">
        <f>(SUM('Investitionskosten Anlage'!D16:D22)+SUM('Investitionskosten Anlage'!D27:D28))*E80</f>
        <v>190.10319999999999</v>
      </c>
    </row>
    <row r="81" spans="1:6" x14ac:dyDescent="0.2">
      <c r="A81" s="451" t="s">
        <v>315</v>
      </c>
      <c r="B81" s="452" t="s">
        <v>214</v>
      </c>
      <c r="C81" s="452">
        <f>(C68+C69)/0.5</f>
        <v>15000</v>
      </c>
      <c r="D81" s="454"/>
      <c r="E81" s="465">
        <v>6.3E-2</v>
      </c>
      <c r="F81" s="119">
        <f t="shared" ref="F81:F82" si="6">C81*E81*(1+D81)</f>
        <v>945</v>
      </c>
    </row>
    <row r="82" spans="1:6" ht="15" thickBot="1" x14ac:dyDescent="0.25">
      <c r="A82" s="451" t="s">
        <v>316</v>
      </c>
      <c r="B82" s="452" t="s">
        <v>214</v>
      </c>
      <c r="C82" s="452">
        <f>C81/10</f>
        <v>1500</v>
      </c>
      <c r="D82" s="454"/>
      <c r="E82" s="462">
        <v>0.55000000000000004</v>
      </c>
      <c r="F82" s="119">
        <f t="shared" si="6"/>
        <v>825.00000000000011</v>
      </c>
    </row>
    <row r="83" spans="1:6" ht="15" thickBot="1" x14ac:dyDescent="0.25">
      <c r="A83" s="473" t="s">
        <v>104</v>
      </c>
      <c r="B83" s="474"/>
      <c r="C83" s="555" t="s">
        <v>216</v>
      </c>
      <c r="D83" s="556"/>
      <c r="E83" s="472"/>
      <c r="F83" s="119">
        <f>E83*F72</f>
        <v>0</v>
      </c>
    </row>
    <row r="84" spans="1:6" x14ac:dyDescent="0.2">
      <c r="A84" s="473" t="s">
        <v>105</v>
      </c>
      <c r="B84" s="463" t="s">
        <v>106</v>
      </c>
      <c r="C84" s="464">
        <v>100</v>
      </c>
      <c r="D84" s="460">
        <v>7.0000000000000007E-2</v>
      </c>
      <c r="E84" s="465">
        <v>2.5</v>
      </c>
      <c r="F84" s="119">
        <f t="shared" ref="F84" si="7">C84*E84*(1+D84)</f>
        <v>267.5</v>
      </c>
    </row>
    <row r="85" spans="1:6" x14ac:dyDescent="0.2">
      <c r="A85" s="473" t="s">
        <v>226</v>
      </c>
      <c r="B85" s="452" t="s">
        <v>31</v>
      </c>
      <c r="C85" s="453">
        <f>C68</f>
        <v>7500</v>
      </c>
      <c r="D85" s="454"/>
      <c r="E85" s="476">
        <f>'Einzelkosten Junganlage'!D42</f>
        <v>0.05</v>
      </c>
      <c r="F85" s="119">
        <f t="shared" ref="F85" si="8">C85*E85*(1+D85)</f>
        <v>375</v>
      </c>
    </row>
    <row r="86" spans="1:6" x14ac:dyDescent="0.2">
      <c r="A86" s="473" t="s">
        <v>227</v>
      </c>
      <c r="B86" s="452" t="s">
        <v>228</v>
      </c>
      <c r="C86" s="453">
        <f>'Einzelkosten Junganlage'!C40</f>
        <v>15000</v>
      </c>
      <c r="D86" s="454"/>
      <c r="E86" s="476">
        <f>'Einzelkosten Junganlage'!D40</f>
        <v>0.04</v>
      </c>
      <c r="F86" s="119">
        <f>C86*E86*(1+D86)</f>
        <v>600</v>
      </c>
    </row>
    <row r="87" spans="1:6" x14ac:dyDescent="0.2">
      <c r="A87" s="451" t="s">
        <v>326</v>
      </c>
      <c r="B87" s="452" t="s">
        <v>213</v>
      </c>
      <c r="C87" s="506">
        <v>1.1000000000000001</v>
      </c>
      <c r="D87" s="454">
        <v>0.19</v>
      </c>
      <c r="E87" s="455">
        <v>29.5</v>
      </c>
      <c r="F87" s="484">
        <f t="shared" ref="F87" si="9">C87*E87*(1+D87)</f>
        <v>38.615500000000004</v>
      </c>
    </row>
    <row r="88" spans="1:6" ht="15" x14ac:dyDescent="0.25">
      <c r="A88" s="122" t="s">
        <v>80</v>
      </c>
      <c r="B88" s="41"/>
      <c r="C88" s="41"/>
      <c r="D88" s="41"/>
      <c r="E88" s="123"/>
      <c r="F88" s="153">
        <f>SUM(F75:F87)</f>
        <v>20356.70695</v>
      </c>
    </row>
    <row r="89" spans="1:6" x14ac:dyDescent="0.2">
      <c r="A89" s="122" t="s">
        <v>81</v>
      </c>
      <c r="B89" s="41"/>
      <c r="C89" s="467">
        <v>0.02</v>
      </c>
      <c r="D89" s="41"/>
      <c r="E89" s="123"/>
      <c r="F89" s="126">
        <f>F88*C89</f>
        <v>407.134139</v>
      </c>
    </row>
    <row r="90" spans="1:6" ht="15.75" thickBot="1" x14ac:dyDescent="0.3">
      <c r="A90" s="38" t="s">
        <v>82</v>
      </c>
      <c r="B90" s="114"/>
      <c r="C90" s="114"/>
      <c r="D90" s="114"/>
      <c r="E90" s="36"/>
      <c r="F90" s="130">
        <f>SUM(F88:F89)</f>
        <v>20763.841089000001</v>
      </c>
    </row>
    <row r="91" spans="1:6" ht="15" thickBot="1" x14ac:dyDescent="0.25">
      <c r="A91" s="51"/>
      <c r="B91" s="52"/>
      <c r="C91" s="52"/>
      <c r="D91" s="52"/>
      <c r="E91" s="104"/>
      <c r="F91" s="111"/>
    </row>
    <row r="92" spans="1:6" ht="15" x14ac:dyDescent="0.25">
      <c r="A92" s="121" t="s">
        <v>83</v>
      </c>
      <c r="B92" s="49"/>
      <c r="C92" s="49"/>
      <c r="D92" s="49"/>
      <c r="E92" s="124"/>
      <c r="F92" s="127">
        <f>F72-F90</f>
        <v>-2498.3410890000014</v>
      </c>
    </row>
    <row r="93" spans="1:6" ht="15.75" thickBot="1" x14ac:dyDescent="0.3">
      <c r="A93" s="128" t="s">
        <v>85</v>
      </c>
      <c r="B93" s="114"/>
      <c r="C93" s="114" t="s">
        <v>86</v>
      </c>
      <c r="D93" s="36"/>
      <c r="E93" s="129"/>
      <c r="F93" s="130">
        <f>F72-F88</f>
        <v>-2091.2069499999998</v>
      </c>
    </row>
    <row r="109" spans="1:1" ht="15.75" x14ac:dyDescent="0.3">
      <c r="A109" s="471" t="s">
        <v>179</v>
      </c>
    </row>
    <row r="110" spans="1:1" ht="15.75" x14ac:dyDescent="0.3">
      <c r="A110" s="471" t="s">
        <v>217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Rote Johannisbeeren, Rovada, 3-Ast-Hecke, Bodenkultur</v>
      </c>
      <c r="C113" s="11"/>
      <c r="D113" s="11"/>
      <c r="E113" s="11"/>
      <c r="F113" s="100"/>
    </row>
    <row r="114" spans="1:6" ht="15" x14ac:dyDescent="0.25">
      <c r="B114" s="11">
        <f>'Deckungsbeitrag Arbeitsgänge'!$B$7</f>
        <v>0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1" t="s">
        <v>75</v>
      </c>
      <c r="B118" s="49" t="s">
        <v>29</v>
      </c>
      <c r="C118" s="49" t="s">
        <v>76</v>
      </c>
      <c r="D118" s="112" t="s">
        <v>84</v>
      </c>
      <c r="E118" s="49" t="s">
        <v>32</v>
      </c>
      <c r="F118" s="113" t="s">
        <v>77</v>
      </c>
    </row>
    <row r="119" spans="1:6" x14ac:dyDescent="0.2">
      <c r="A119" s="446"/>
      <c r="B119" s="447" t="s">
        <v>31</v>
      </c>
      <c r="C119" s="448"/>
      <c r="D119" s="449"/>
      <c r="E119" s="461"/>
      <c r="F119" s="116">
        <f>C119*E119*(1+D119)</f>
        <v>0</v>
      </c>
    </row>
    <row r="120" spans="1:6" x14ac:dyDescent="0.2">
      <c r="A120" s="451"/>
      <c r="B120" s="452"/>
      <c r="C120" s="453"/>
      <c r="D120" s="454"/>
      <c r="E120" s="455"/>
      <c r="F120" s="119">
        <f t="shared" ref="F120:F122" si="10">C120*E120*(1+D120)</f>
        <v>0</v>
      </c>
    </row>
    <row r="121" spans="1:6" x14ac:dyDescent="0.2">
      <c r="A121" s="451"/>
      <c r="B121" s="452"/>
      <c r="C121" s="452"/>
      <c r="D121" s="454"/>
      <c r="E121" s="455"/>
      <c r="F121" s="119">
        <f t="shared" si="10"/>
        <v>0</v>
      </c>
    </row>
    <row r="122" spans="1:6" x14ac:dyDescent="0.2">
      <c r="A122" s="456"/>
      <c r="B122" s="457"/>
      <c r="C122" s="457"/>
      <c r="D122" s="458"/>
      <c r="E122" s="459"/>
      <c r="F122" s="120">
        <f t="shared" si="10"/>
        <v>0</v>
      </c>
    </row>
    <row r="123" spans="1:6" ht="15.75" thickBot="1" x14ac:dyDescent="0.3">
      <c r="A123" s="38" t="s">
        <v>78</v>
      </c>
      <c r="B123" s="114"/>
      <c r="C123" s="114"/>
      <c r="D123" s="114"/>
      <c r="E123" s="115"/>
      <c r="F123" s="130">
        <f>SUM(F119:F122)</f>
        <v>0</v>
      </c>
    </row>
    <row r="124" spans="1:6" ht="15" thickBot="1" x14ac:dyDescent="0.25">
      <c r="A124" s="51"/>
      <c r="B124" s="52"/>
      <c r="C124" s="52"/>
      <c r="D124" s="52"/>
      <c r="E124" s="104"/>
      <c r="F124" s="110"/>
    </row>
    <row r="125" spans="1:6" ht="15" x14ac:dyDescent="0.25">
      <c r="A125" s="121" t="s">
        <v>79</v>
      </c>
      <c r="B125" s="49" t="s">
        <v>29</v>
      </c>
      <c r="C125" s="49" t="s">
        <v>76</v>
      </c>
      <c r="D125" s="49" t="s">
        <v>84</v>
      </c>
      <c r="E125" s="124" t="s">
        <v>32</v>
      </c>
      <c r="F125" s="125" t="s">
        <v>77</v>
      </c>
    </row>
    <row r="126" spans="1:6" x14ac:dyDescent="0.2">
      <c r="A126" s="475" t="s">
        <v>325</v>
      </c>
      <c r="B126" s="447" t="s">
        <v>324</v>
      </c>
      <c r="C126" s="452">
        <v>1</v>
      </c>
      <c r="D126" s="454">
        <v>0.19</v>
      </c>
      <c r="E126" s="455">
        <v>220</v>
      </c>
      <c r="F126" s="116">
        <f>C126*E126*(1+D126)</f>
        <v>261.8</v>
      </c>
    </row>
    <row r="127" spans="1:6" x14ac:dyDescent="0.2">
      <c r="A127" s="473" t="s">
        <v>215</v>
      </c>
      <c r="B127" s="452"/>
      <c r="C127" s="117"/>
      <c r="D127" s="486">
        <v>0.19</v>
      </c>
      <c r="E127" s="118">
        <f>'Deckungsbeitrag Pflanzenschutz'!I157</f>
        <v>327.09000000000003</v>
      </c>
      <c r="F127" s="119">
        <f>E127*(1+D127)</f>
        <v>389.2371</v>
      </c>
    </row>
    <row r="128" spans="1:6" x14ac:dyDescent="0.2">
      <c r="A128" s="473" t="s">
        <v>156</v>
      </c>
      <c r="B128" s="452"/>
      <c r="C128" s="117"/>
      <c r="D128" s="486">
        <v>0.19</v>
      </c>
      <c r="E128" s="118">
        <f>'Deckungsbeitrag Arbeitsgänge'!N117</f>
        <v>172.95000000000002</v>
      </c>
      <c r="F128" s="119">
        <f>E128*(1+D128)</f>
        <v>205.81050000000002</v>
      </c>
    </row>
    <row r="129" spans="1:6" x14ac:dyDescent="0.2">
      <c r="A129" s="473" t="s">
        <v>102</v>
      </c>
      <c r="B129" s="481" t="s">
        <v>87</v>
      </c>
      <c r="C129" s="482">
        <f>'Deckungsbeitrag Arbeitsgänge'!C117</f>
        <v>60</v>
      </c>
      <c r="D129" s="488"/>
      <c r="E129" s="476">
        <f>Ertragsgrenzen!B21</f>
        <v>14</v>
      </c>
      <c r="F129" s="119">
        <f>C129*E129</f>
        <v>840</v>
      </c>
    </row>
    <row r="130" spans="1:6" x14ac:dyDescent="0.2">
      <c r="A130" s="473" t="s">
        <v>154</v>
      </c>
      <c r="B130" s="452"/>
      <c r="C130" s="452"/>
      <c r="D130" s="454"/>
      <c r="E130" s="455"/>
      <c r="F130" s="119">
        <f t="shared" ref="F130" si="11">C130*E130*(1+D130)</f>
        <v>0</v>
      </c>
    </row>
    <row r="131" spans="1:6" x14ac:dyDescent="0.2">
      <c r="A131" s="451" t="s">
        <v>166</v>
      </c>
      <c r="B131" s="452" t="s">
        <v>214</v>
      </c>
      <c r="C131" s="452">
        <f>(C119+C120)/0.25</f>
        <v>0</v>
      </c>
      <c r="D131" s="454"/>
      <c r="E131" s="455"/>
      <c r="F131" s="119">
        <f t="shared" ref="F131:F132" si="12">C131*E131*(1+D131)</f>
        <v>0</v>
      </c>
    </row>
    <row r="132" spans="1:6" ht="15" thickBot="1" x14ac:dyDescent="0.25">
      <c r="A132" s="451" t="s">
        <v>167</v>
      </c>
      <c r="B132" s="452" t="s">
        <v>214</v>
      </c>
      <c r="C132" s="452">
        <f>C131/16</f>
        <v>0</v>
      </c>
      <c r="D132" s="454"/>
      <c r="E132" s="462"/>
      <c r="F132" s="119">
        <f t="shared" si="12"/>
        <v>0</v>
      </c>
    </row>
    <row r="133" spans="1:6" ht="15" thickBot="1" x14ac:dyDescent="0.25">
      <c r="A133" s="451" t="s">
        <v>104</v>
      </c>
      <c r="B133" s="460"/>
      <c r="C133" s="557" t="s">
        <v>216</v>
      </c>
      <c r="D133" s="558"/>
      <c r="E133" s="472"/>
      <c r="F133" s="119">
        <f>E133*F123</f>
        <v>0</v>
      </c>
    </row>
    <row r="134" spans="1:6" x14ac:dyDescent="0.2">
      <c r="A134" s="451" t="s">
        <v>105</v>
      </c>
      <c r="B134" s="463" t="s">
        <v>106</v>
      </c>
      <c r="C134" s="464">
        <v>50</v>
      </c>
      <c r="D134" s="454">
        <v>7.0000000000000007E-2</v>
      </c>
      <c r="E134" s="465">
        <v>2.5</v>
      </c>
      <c r="F134" s="483">
        <f t="shared" ref="F134:F135" si="13">C134*E134*(1+D134)</f>
        <v>133.75</v>
      </c>
    </row>
    <row r="135" spans="1:6" x14ac:dyDescent="0.2">
      <c r="A135" s="451" t="s">
        <v>226</v>
      </c>
      <c r="B135" s="452" t="s">
        <v>31</v>
      </c>
      <c r="C135" s="466"/>
      <c r="D135" s="454"/>
      <c r="E135" s="455"/>
      <c r="F135" s="483">
        <f t="shared" si="13"/>
        <v>0</v>
      </c>
    </row>
    <row r="136" spans="1:6" x14ac:dyDescent="0.2">
      <c r="A136" s="451" t="s">
        <v>227</v>
      </c>
      <c r="B136" s="452" t="s">
        <v>228</v>
      </c>
      <c r="C136" s="452"/>
      <c r="D136" s="454"/>
      <c r="E136" s="455"/>
      <c r="F136" s="483">
        <f>C136*E136*(1+D136)</f>
        <v>0</v>
      </c>
    </row>
    <row r="137" spans="1:6" x14ac:dyDescent="0.2">
      <c r="A137" s="451" t="s">
        <v>326</v>
      </c>
      <c r="B137" s="452" t="s">
        <v>213</v>
      </c>
      <c r="C137" s="506">
        <v>1.1000000000000001</v>
      </c>
      <c r="D137" s="454">
        <v>0.19</v>
      </c>
      <c r="E137" s="455">
        <v>29.5</v>
      </c>
      <c r="F137" s="484">
        <f t="shared" ref="F137" si="14">C137*E137*(1+D137)</f>
        <v>38.615500000000004</v>
      </c>
    </row>
    <row r="138" spans="1:6" ht="15" x14ac:dyDescent="0.25">
      <c r="A138" s="122" t="s">
        <v>80</v>
      </c>
      <c r="B138" s="41"/>
      <c r="C138" s="41"/>
      <c r="D138" s="41"/>
      <c r="E138" s="123"/>
      <c r="F138" s="153">
        <f>SUM(F126:F137)</f>
        <v>1869.2131000000002</v>
      </c>
    </row>
    <row r="139" spans="1:6" x14ac:dyDescent="0.2">
      <c r="A139" s="122" t="s">
        <v>81</v>
      </c>
      <c r="B139" s="41"/>
      <c r="C139" s="467">
        <v>0.02</v>
      </c>
      <c r="D139" s="41"/>
      <c r="E139" s="123"/>
      <c r="F139" s="126">
        <f>F138*C139</f>
        <v>37.384262000000007</v>
      </c>
    </row>
    <row r="140" spans="1:6" ht="15.75" thickBot="1" x14ac:dyDescent="0.3">
      <c r="A140" s="38" t="s">
        <v>82</v>
      </c>
      <c r="B140" s="114"/>
      <c r="C140" s="114"/>
      <c r="D140" s="114"/>
      <c r="E140" s="36"/>
      <c r="F140" s="130">
        <f>SUM(F138:F139)</f>
        <v>1906.5973620000002</v>
      </c>
    </row>
    <row r="141" spans="1:6" ht="15" thickBot="1" x14ac:dyDescent="0.25">
      <c r="A141" s="51"/>
      <c r="B141" s="52"/>
      <c r="C141" s="52"/>
      <c r="D141" s="52"/>
      <c r="E141" s="104"/>
      <c r="F141" s="111"/>
    </row>
    <row r="142" spans="1:6" ht="15" x14ac:dyDescent="0.25">
      <c r="A142" s="121" t="s">
        <v>83</v>
      </c>
      <c r="B142" s="49"/>
      <c r="C142" s="49"/>
      <c r="D142" s="49"/>
      <c r="E142" s="124"/>
      <c r="F142" s="127">
        <f>F123-F140</f>
        <v>-1906.5973620000002</v>
      </c>
    </row>
    <row r="143" spans="1:6" ht="15.75" thickBot="1" x14ac:dyDescent="0.3">
      <c r="A143" s="128" t="s">
        <v>85</v>
      </c>
      <c r="B143" s="114"/>
      <c r="C143" s="114" t="s">
        <v>86</v>
      </c>
      <c r="D143" s="36"/>
      <c r="E143" s="129"/>
      <c r="F143" s="130">
        <f>F123-F138</f>
        <v>-1869.2131000000002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8">
        <f>'Deckungsbeitrag Zeitverteilung'!B124</f>
        <v>10</v>
      </c>
      <c r="D148" s="138">
        <f>'Deckungsbeitrag Zeitverteilung'!D124</f>
        <v>2</v>
      </c>
      <c r="E148" s="138">
        <f>'Deckungsbeitrag Zeitverteilung'!F124</f>
        <v>1</v>
      </c>
      <c r="F148" s="138">
        <f>C148+D148+E148</f>
        <v>13</v>
      </c>
    </row>
    <row r="149" spans="1:6" x14ac:dyDescent="0.2">
      <c r="A149" s="139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8" t="s">
        <v>52</v>
      </c>
    </row>
    <row r="151" spans="1:6" ht="15" x14ac:dyDescent="0.25">
      <c r="A151" s="121" t="s">
        <v>91</v>
      </c>
      <c r="B151" s="50"/>
      <c r="C151" s="141">
        <f>F41</f>
        <v>8095.1547329999958</v>
      </c>
      <c r="D151" s="141">
        <f>F92</f>
        <v>-2498.3410890000014</v>
      </c>
      <c r="E151" s="142">
        <f>F142</f>
        <v>-1906.5973620000002</v>
      </c>
      <c r="F151" s="145">
        <f>(C151*$C$148+D151*$D$148+E151*$E$148)/$F$148</f>
        <v>5696.0205992307656</v>
      </c>
    </row>
    <row r="152" spans="1:6" ht="15.75" thickBot="1" x14ac:dyDescent="0.3">
      <c r="A152" s="147" t="s">
        <v>92</v>
      </c>
      <c r="B152" s="53"/>
      <c r="C152" s="143">
        <f>F42</f>
        <v>8795.9791499999992</v>
      </c>
      <c r="D152" s="143">
        <f>F93</f>
        <v>-2091.2069499999998</v>
      </c>
      <c r="E152" s="144">
        <f>F143</f>
        <v>-1869.2131000000002</v>
      </c>
      <c r="F152" s="146">
        <f>(C152*$C$148+D152*$D$148+E152*$E$148)/$F$148</f>
        <v>6300.6280384615384</v>
      </c>
    </row>
    <row r="153" spans="1:6" x14ac:dyDescent="0.2">
      <c r="E153" s="152" t="s">
        <v>100</v>
      </c>
    </row>
    <row r="154" spans="1:6" x14ac:dyDescent="0.2">
      <c r="A154" s="40" t="s">
        <v>94</v>
      </c>
      <c r="B154" s="41" t="s">
        <v>95</v>
      </c>
      <c r="C154" s="149">
        <f>'Deckungsbeitrag Arbeitsgänge'!B39-'Deckungsbeitrag Arbeitsgänge'!C39</f>
        <v>114</v>
      </c>
      <c r="D154" s="149">
        <f>'Deckungsbeitrag Arbeitsgänge'!B77-'Deckungsbeitrag Arbeitsgänge'!C77</f>
        <v>92</v>
      </c>
      <c r="E154" s="148">
        <f>'Deckungsbeitrag Arbeitsgänge'!B117+'Deckungsbeitrag Arbeitsgänge'!B108+'Deckungsbeitrag Arbeitsgänge'!B94-'Deckungsbeitrag Arbeitsgänge'!C117-'Deckungsbeitrag Arbeitsgänge'!C108-'Deckungsbeitrag Arbeitsgänge'!C94</f>
        <v>23</v>
      </c>
      <c r="F154" s="150">
        <f>(C154*$C$148+D154*$D$148+E154*$E$148)/$F$148</f>
        <v>103.61538461538461</v>
      </c>
    </row>
    <row r="155" spans="1:6" x14ac:dyDescent="0.2">
      <c r="A155" s="40" t="s">
        <v>96</v>
      </c>
      <c r="B155" s="41" t="s">
        <v>98</v>
      </c>
      <c r="C155" s="41"/>
      <c r="D155" s="470">
        <f>Ertragsgrenzen!B22</f>
        <v>25</v>
      </c>
      <c r="E155" s="42" t="s">
        <v>97</v>
      </c>
      <c r="F155" s="135">
        <f>F154*D155</f>
        <v>2590.3846153846152</v>
      </c>
    </row>
    <row r="156" spans="1:6" x14ac:dyDescent="0.2">
      <c r="A156" s="40" t="s">
        <v>93</v>
      </c>
      <c r="B156" s="151" t="s">
        <v>101</v>
      </c>
      <c r="C156" s="41"/>
      <c r="D156" s="41"/>
      <c r="E156" s="41"/>
      <c r="F156" s="140">
        <f>'Investitionskosten Anlage'!F51-'Investitionskosten Anlage'!F40-'Investitionskosten Anlage'!F30-'Investitionskosten Anlage'!F29</f>
        <v>1476.4555384615385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2020-05-13T09:23:48Z</cp:lastPrinted>
  <dcterms:created xsi:type="dcterms:W3CDTF">2013-09-24T12:06:11Z</dcterms:created>
  <dcterms:modified xsi:type="dcterms:W3CDTF">2020-08-04T06:35:11Z</dcterms:modified>
</cp:coreProperties>
</file>